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codeName="ThisWorkbook" hidePivotFieldList="1" defaultThemeVersion="166925"/>
  <mc:AlternateContent xmlns:mc="http://schemas.openxmlformats.org/markup-compatibility/2006">
    <mc:Choice Requires="x15">
      <x15ac:absPath xmlns:x15ac="http://schemas.microsoft.com/office/spreadsheetml/2010/11/ac" url="C:\Users\phoxy\Desktop\"/>
    </mc:Choice>
  </mc:AlternateContent>
  <xr:revisionPtr revIDLastSave="0" documentId="13_ncr:1_{49F9E928-9C9E-45E9-843C-B1168C317305}" xr6:coauthVersionLast="47" xr6:coauthVersionMax="47" xr10:uidLastSave="{00000000-0000-0000-0000-000000000000}"/>
  <bookViews>
    <workbookView xWindow="-120" yWindow="-120" windowWidth="29040" windowHeight="15720" tabRatio="605" firstSheet="5" activeTab="13" xr2:uid="{C79B0685-3D1A-4219-8683-C04EB956B0B1}"/>
  </bookViews>
  <sheets>
    <sheet name="How to Use" sheetId="23" r:id="rId1"/>
    <sheet name="Contents" sheetId="2" r:id="rId2"/>
    <sheet name="Galaxy #1" sheetId="5" r:id="rId3"/>
    <sheet name="Galaxy #2" sheetId="4" r:id="rId4"/>
    <sheet name="Galaxy #3" sheetId="1" r:id="rId5"/>
    <sheet name="Galaxy #4" sheetId="15" r:id="rId6"/>
    <sheet name="Galaxy #5" sheetId="16" r:id="rId7"/>
    <sheet name="Galaxy #6" sheetId="17" r:id="rId8"/>
    <sheet name="Galaxy #7" sheetId="18" r:id="rId9"/>
    <sheet name="Galaxy #8" sheetId="19" r:id="rId10"/>
    <sheet name="Galaxy #9" sheetId="20" r:id="rId11"/>
    <sheet name="Galaxy #10" sheetId="21" r:id="rId12"/>
    <sheet name="Statistics" sheetId="3" r:id="rId13"/>
    <sheet name="Standings" sheetId="22" r:id="rId14"/>
  </sheets>
  <definedNames>
    <definedName name="AreaofGalaxy">'Galaxy #1:Galaxy #10'!$X$2:$X$11</definedName>
    <definedName name="ExternalData_1" localSheetId="13" hidden="1">Standings!$A$1:$O$310</definedName>
    <definedName name="FilepathAndName">Contents!$B$2</definedName>
    <definedName name="GalaxyEthics">'Galaxy #1:Galaxy #10'!$D$2:$F$11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 i="2" l="1"/>
  <c r="C14" i="3"/>
  <c r="E16" i="3"/>
  <c r="J30" i="3"/>
  <c r="E20" i="3"/>
  <c r="J18" i="3"/>
  <c r="F34" i="3"/>
  <c r="D34" i="3"/>
  <c r="C62" i="3"/>
  <c r="F22" i="3"/>
  <c r="F2" i="3"/>
  <c r="B12" i="3"/>
  <c r="D65" i="3"/>
  <c r="G68" i="3"/>
  <c r="L63" i="3"/>
  <c r="E64" i="3"/>
  <c r="I55" i="3"/>
  <c r="F45" i="3"/>
  <c r="C66" i="3"/>
  <c r="F30" i="3"/>
  <c r="H22" i="3"/>
  <c r="B68" i="3"/>
  <c r="G12" i="3"/>
  <c r="C30" i="3"/>
  <c r="D36" i="3"/>
  <c r="F70" i="3"/>
  <c r="F65" i="3"/>
  <c r="C53" i="3"/>
  <c r="H53" i="3"/>
  <c r="G71" i="3"/>
  <c r="I6" i="3"/>
  <c r="E68" i="3"/>
  <c r="D10" i="3"/>
  <c r="I49" i="3"/>
  <c r="E66" i="3"/>
  <c r="H26" i="3"/>
  <c r="K36" i="3"/>
  <c r="E32" i="3"/>
  <c r="J68" i="3"/>
  <c r="F18" i="3"/>
  <c r="H41" i="3"/>
  <c r="D64" i="3"/>
  <c r="J59" i="3"/>
  <c r="C38" i="3"/>
  <c r="H28" i="3"/>
  <c r="D62" i="3"/>
  <c r="D18" i="3"/>
  <c r="M36" i="3"/>
  <c r="C63" i="3"/>
  <c r="H59" i="3"/>
  <c r="J53" i="3"/>
  <c r="F8" i="3"/>
  <c r="C2" i="3"/>
  <c r="E70" i="3"/>
  <c r="H12" i="3"/>
  <c r="K47" i="3"/>
  <c r="I12" i="3"/>
  <c r="G32" i="3"/>
  <c r="I62" i="3"/>
  <c r="L57" i="3"/>
  <c r="K43" i="3"/>
  <c r="J43" i="3"/>
  <c r="G49" i="3"/>
  <c r="F47" i="3"/>
  <c r="B36" i="3"/>
  <c r="M18" i="3"/>
  <c r="D16" i="3"/>
  <c r="D38" i="3"/>
  <c r="H49" i="3"/>
  <c r="B62" i="3"/>
  <c r="G41" i="3"/>
  <c r="C12" i="3"/>
  <c r="F57" i="3"/>
  <c r="I41" i="3"/>
  <c r="H2" i="3"/>
  <c r="M43" i="3"/>
  <c r="K63" i="3"/>
  <c r="H57" i="3"/>
  <c r="B66" i="3"/>
  <c r="B18" i="3"/>
  <c r="H58" i="3"/>
  <c r="B22" i="3"/>
  <c r="C41" i="3"/>
  <c r="D59" i="3"/>
  <c r="H32" i="3"/>
  <c r="L66" i="3"/>
  <c r="G34" i="3"/>
  <c r="H6" i="3"/>
  <c r="C26" i="3"/>
  <c r="F58" i="3"/>
  <c r="E36" i="3"/>
  <c r="E65" i="3"/>
  <c r="D58" i="3"/>
  <c r="E41" i="3"/>
  <c r="B24" i="3"/>
  <c r="E45" i="3"/>
  <c r="E69" i="3"/>
  <c r="G57" i="3"/>
  <c r="B34" i="3"/>
  <c r="E63" i="3"/>
  <c r="J26" i="3"/>
  <c r="E8" i="3"/>
  <c r="D66" i="3"/>
  <c r="H43" i="3"/>
  <c r="G36" i="3"/>
  <c r="J62" i="3"/>
  <c r="K32" i="3"/>
  <c r="I43" i="3"/>
  <c r="C68" i="3"/>
  <c r="E18" i="3"/>
  <c r="C55" i="3"/>
  <c r="C10" i="3"/>
  <c r="B6" i="3"/>
  <c r="I64" i="3"/>
  <c r="E55" i="3"/>
  <c r="K67" i="3"/>
  <c r="C51" i="3"/>
  <c r="F49" i="3"/>
  <c r="K55" i="3"/>
  <c r="C22" i="3"/>
  <c r="K65" i="3"/>
  <c r="B4" i="3"/>
  <c r="K10" i="3"/>
  <c r="J55" i="3"/>
  <c r="E26" i="3"/>
  <c r="H45" i="3"/>
  <c r="K41" i="3"/>
  <c r="C16" i="3"/>
  <c r="K28" i="3"/>
  <c r="E12" i="3"/>
  <c r="E34" i="3"/>
  <c r="F63" i="3"/>
  <c r="K62" i="3"/>
  <c r="F69" i="3"/>
  <c r="K34" i="3"/>
  <c r="J69" i="3"/>
  <c r="C20" i="3"/>
  <c r="H55" i="3"/>
  <c r="H64" i="3"/>
  <c r="I65" i="3"/>
  <c r="C43" i="3"/>
  <c r="M24" i="3"/>
  <c r="B32" i="3"/>
  <c r="M47" i="3"/>
  <c r="L53" i="3"/>
  <c r="C65" i="3"/>
  <c r="B8" i="3"/>
  <c r="G22" i="3"/>
  <c r="I69" i="3"/>
  <c r="B65" i="3"/>
  <c r="I34" i="3"/>
  <c r="F66" i="3"/>
  <c r="E51" i="3"/>
  <c r="F36" i="3"/>
  <c r="L64" i="3"/>
  <c r="G69" i="3"/>
  <c r="I47" i="3"/>
  <c r="B70" i="3"/>
  <c r="H68" i="3"/>
  <c r="F71" i="3"/>
  <c r="E2" i="3"/>
  <c r="I26" i="3"/>
  <c r="B38" i="3"/>
  <c r="D70" i="3"/>
  <c r="M30" i="3"/>
  <c r="L70" i="3"/>
  <c r="F59" i="3"/>
  <c r="D45" i="3"/>
  <c r="B10" i="3"/>
  <c r="C24" i="3"/>
  <c r="B20" i="3"/>
  <c r="C69" i="3"/>
  <c r="G47" i="3"/>
  <c r="L59" i="3"/>
  <c r="I18" i="3"/>
  <c r="G18" i="3"/>
  <c r="H36" i="3"/>
  <c r="D20" i="3"/>
  <c r="B63" i="3"/>
  <c r="E47" i="3"/>
  <c r="K2" i="3"/>
  <c r="C8" i="3"/>
  <c r="G64" i="3"/>
  <c r="F32" i="3"/>
  <c r="K18" i="3"/>
  <c r="L6" i="3"/>
  <c r="K12" i="3"/>
  <c r="I32" i="3"/>
  <c r="I30" i="3"/>
  <c r="J70" i="3"/>
  <c r="F55" i="3"/>
  <c r="L24" i="3"/>
  <c r="I66" i="3"/>
  <c r="G30" i="3"/>
  <c r="L68" i="3"/>
  <c r="J34" i="3"/>
  <c r="L30" i="3"/>
  <c r="B16" i="3"/>
  <c r="F26" i="3"/>
  <c r="J63" i="3"/>
  <c r="B30" i="3"/>
  <c r="M2" i="3"/>
  <c r="D71" i="3"/>
  <c r="J6" i="3"/>
  <c r="C36" i="3"/>
  <c r="C71" i="3"/>
  <c r="J66" i="3"/>
  <c r="G66" i="3"/>
  <c r="G24" i="3"/>
  <c r="K70" i="3"/>
  <c r="C67" i="3"/>
  <c r="E24" i="3"/>
  <c r="E58" i="3"/>
  <c r="L18" i="3"/>
  <c r="L32" i="3"/>
  <c r="L34" i="3"/>
  <c r="G28" i="3"/>
  <c r="D41" i="3"/>
  <c r="H30" i="3"/>
  <c r="E6" i="3"/>
  <c r="J24" i="3"/>
  <c r="E43" i="3"/>
  <c r="K49" i="3"/>
  <c r="D30" i="3"/>
  <c r="K6" i="3"/>
  <c r="B71" i="3"/>
  <c r="L71" i="3"/>
  <c r="L36" i="3"/>
  <c r="C28" i="3"/>
  <c r="F62" i="3"/>
  <c r="H71" i="3"/>
  <c r="M34" i="3"/>
  <c r="G67" i="3"/>
  <c r="L67" i="3"/>
  <c r="C32" i="3"/>
  <c r="C57" i="3"/>
  <c r="B26" i="3"/>
  <c r="G45" i="3"/>
  <c r="H66" i="3"/>
  <c r="C64" i="3"/>
  <c r="L65" i="3"/>
  <c r="K59" i="3"/>
  <c r="G2" i="3"/>
  <c r="C70" i="3"/>
  <c r="L43" i="3"/>
  <c r="H63" i="3"/>
  <c r="B2" i="3"/>
  <c r="I53" i="3"/>
  <c r="J12" i="3"/>
  <c r="F43" i="3"/>
  <c r="D47" i="3"/>
  <c r="J65" i="3"/>
  <c r="L58" i="3"/>
  <c r="G55" i="3"/>
  <c r="H62" i="3"/>
  <c r="D49" i="3"/>
  <c r="I28" i="3"/>
  <c r="I36" i="3"/>
  <c r="M49" i="3"/>
  <c r="H34" i="3"/>
  <c r="F28" i="3"/>
  <c r="E62" i="3"/>
  <c r="F68" i="3"/>
  <c r="B64" i="3"/>
  <c r="B14" i="3"/>
  <c r="H18" i="3"/>
  <c r="K68" i="3"/>
  <c r="M10" i="3"/>
  <c r="H67" i="3"/>
  <c r="D51" i="3"/>
  <c r="F53" i="3"/>
  <c r="D53" i="3"/>
  <c r="D28" i="3"/>
  <c r="L62" i="3"/>
  <c r="M26" i="3"/>
  <c r="M53" i="3"/>
  <c r="J2" i="3"/>
  <c r="J28" i="3"/>
  <c r="I45" i="3"/>
  <c r="D24" i="3"/>
  <c r="F12" i="3"/>
  <c r="I59" i="3"/>
  <c r="L26" i="3"/>
  <c r="I67" i="3"/>
  <c r="J57" i="3"/>
  <c r="F10" i="3"/>
  <c r="E49" i="3"/>
  <c r="H70" i="3"/>
  <c r="J32" i="3"/>
  <c r="C34" i="3"/>
  <c r="L49" i="3"/>
  <c r="J45" i="3"/>
  <c r="J10" i="3"/>
  <c r="D26" i="3"/>
  <c r="M41" i="3"/>
  <c r="K69" i="3"/>
  <c r="K45" i="3"/>
  <c r="B67" i="3"/>
  <c r="I70" i="3"/>
  <c r="B28" i="3"/>
  <c r="E10" i="3"/>
  <c r="H47" i="3"/>
  <c r="G59" i="3"/>
  <c r="M45" i="3"/>
  <c r="K64" i="3"/>
  <c r="I63" i="3"/>
  <c r="I58" i="3"/>
  <c r="K53" i="3"/>
  <c r="F41" i="3"/>
  <c r="D68" i="3"/>
  <c r="J47" i="3"/>
  <c r="E53" i="3"/>
  <c r="L2" i="3"/>
  <c r="L12" i="3"/>
  <c r="D57" i="3"/>
  <c r="E59" i="3"/>
  <c r="C18" i="3"/>
  <c r="C47" i="3"/>
  <c r="M32" i="3"/>
  <c r="J71" i="3"/>
  <c r="C49" i="3"/>
  <c r="D43" i="3"/>
  <c r="D14" i="3"/>
  <c r="K66" i="3"/>
  <c r="G10" i="3"/>
  <c r="I71" i="3"/>
  <c r="K58" i="3"/>
  <c r="G58" i="3"/>
  <c r="D32" i="3"/>
  <c r="D55" i="3"/>
  <c r="H24" i="3"/>
  <c r="D63" i="3"/>
  <c r="C6" i="3"/>
  <c r="G26" i="3"/>
  <c r="G63" i="3"/>
  <c r="E28" i="3"/>
  <c r="J49" i="3"/>
  <c r="G53" i="3"/>
  <c r="G70" i="3"/>
  <c r="K24" i="3"/>
  <c r="L45" i="3"/>
  <c r="L10" i="3"/>
  <c r="I24" i="3"/>
  <c r="G43" i="3"/>
  <c r="I68" i="3"/>
  <c r="L47" i="3"/>
  <c r="J41" i="3"/>
  <c r="D2" i="3"/>
  <c r="L41" i="3"/>
  <c r="E22" i="3"/>
  <c r="B69" i="3"/>
  <c r="H10" i="3"/>
  <c r="K26" i="3"/>
  <c r="I10" i="3"/>
  <c r="G65" i="3"/>
  <c r="H69" i="3"/>
  <c r="E30" i="3"/>
  <c r="C59" i="3"/>
  <c r="I57" i="3"/>
  <c r="M6" i="3"/>
  <c r="E71" i="3"/>
  <c r="J36" i="3"/>
  <c r="C58" i="3"/>
  <c r="I2" i="3"/>
  <c r="D69" i="3"/>
  <c r="J67" i="3"/>
  <c r="L28" i="3"/>
  <c r="G62" i="3"/>
  <c r="H65" i="3"/>
  <c r="F64" i="3"/>
  <c r="M12" i="3"/>
  <c r="L69" i="3"/>
  <c r="F6" i="3"/>
  <c r="D22" i="3"/>
  <c r="E57" i="3"/>
  <c r="K71" i="3"/>
  <c r="D67" i="3"/>
  <c r="D6" i="3"/>
  <c r="D12" i="3"/>
  <c r="J58" i="3"/>
  <c r="K30" i="3"/>
  <c r="J64" i="3"/>
  <c r="K57" i="3"/>
  <c r="D8" i="3"/>
  <c r="G6" i="3"/>
  <c r="M28" i="3"/>
  <c r="F24" i="3"/>
  <c r="O4" i="3" l="1"/>
  <c r="O16" i="3"/>
  <c r="O52" i="3"/>
  <c r="O39" i="3"/>
  <c r="O14" i="3"/>
  <c r="O8" i="3"/>
  <c r="C72" i="3"/>
  <c r="B72" i="3"/>
  <c r="M57" i="3"/>
  <c r="O23" i="3"/>
  <c r="J72" i="3"/>
  <c r="K72" i="3"/>
  <c r="L72" i="3"/>
  <c r="D72" i="3"/>
  <c r="I72" i="3"/>
  <c r="M59" i="3"/>
  <c r="O17" i="3"/>
  <c r="H72" i="3"/>
  <c r="G72" i="3"/>
  <c r="O21" i="3"/>
  <c r="M58" i="3"/>
  <c r="F67" i="3"/>
  <c r="E67" i="3"/>
  <c r="E72" i="3" l="1"/>
  <c r="F72"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23CBD9A-F0FB-4DFD-B90B-866D510FE686}" keepAlive="1" name="Query - Standings" description="Connection to the 'Standings' query in the workbook." type="5" refreshedVersion="7" background="1" saveData="1">
    <dbPr connection="Provider=Microsoft.Mashup.OleDb.1;Data Source=$Workbook$;Location=Standings;Extended Properties=&quot;&quot;" command="SELECT * FROM [Standings]"/>
  </connection>
</connections>
</file>

<file path=xl/sharedStrings.xml><?xml version="1.0" encoding="utf-8"?>
<sst xmlns="http://schemas.openxmlformats.org/spreadsheetml/2006/main" count="1481" uniqueCount="422">
  <si>
    <t>Empire Name</t>
  </si>
  <si>
    <t>Description</t>
  </si>
  <si>
    <t>Ethic 1</t>
  </si>
  <si>
    <t>Ethic 2</t>
  </si>
  <si>
    <t>Ethic 3</t>
  </si>
  <si>
    <t>Rule Type</t>
  </si>
  <si>
    <t>Win Points Awarded</t>
  </si>
  <si>
    <t>Pacifist</t>
  </si>
  <si>
    <t>Ethics</t>
  </si>
  <si>
    <t>Egalitarian</t>
  </si>
  <si>
    <t>Materialist</t>
  </si>
  <si>
    <t>Fan. Materialist</t>
  </si>
  <si>
    <t>Fan. Egalitarian</t>
  </si>
  <si>
    <t>Fan. Pacifist</t>
  </si>
  <si>
    <t>Xenophile</t>
  </si>
  <si>
    <t>Fan. Xenophile</t>
  </si>
  <si>
    <t>Authoritarian</t>
  </si>
  <si>
    <t>Fan. Authoritarian</t>
  </si>
  <si>
    <t>Spiritualist</t>
  </si>
  <si>
    <t>Fan. Spiritualist</t>
  </si>
  <si>
    <t>Militarist</t>
  </si>
  <si>
    <t>Fan. Militarist</t>
  </si>
  <si>
    <t>Xenophobe</t>
  </si>
  <si>
    <t>Fan. Xenophobe</t>
  </si>
  <si>
    <t>Gestalt Consiousness</t>
  </si>
  <si>
    <t>Authority</t>
  </si>
  <si>
    <t>Democratic</t>
  </si>
  <si>
    <t>Oligarchic</t>
  </si>
  <si>
    <t>Dictatorial</t>
  </si>
  <si>
    <t>Imperial</t>
  </si>
  <si>
    <t>Machine Intelligence</t>
  </si>
  <si>
    <t>Corporate</t>
  </si>
  <si>
    <t>Galaxy Points at 2400</t>
  </si>
  <si>
    <t>Origin</t>
  </si>
  <si>
    <t>Species Type</t>
  </si>
  <si>
    <t>Humanoid</t>
  </si>
  <si>
    <t>Prosperous Unification</t>
  </si>
  <si>
    <t>Galactic Doorstep</t>
  </si>
  <si>
    <t>Lost Colony</t>
  </si>
  <si>
    <t>Mechanist</t>
  </si>
  <si>
    <t>Syncretic Evolution</t>
  </si>
  <si>
    <t>Tree of Life</t>
  </si>
  <si>
    <t>Resource Consolidation</t>
  </si>
  <si>
    <t>Clone Army</t>
  </si>
  <si>
    <t>Life-Seeded</t>
  </si>
  <si>
    <t>Post Apocalyptic</t>
  </si>
  <si>
    <t>Remnants</t>
  </si>
  <si>
    <t>Calamitous Birth</t>
  </si>
  <si>
    <t>Common Ground</t>
  </si>
  <si>
    <t>Hegemon</t>
  </si>
  <si>
    <t>Doomsday</t>
  </si>
  <si>
    <t>On the Shoulders of Giants</t>
  </si>
  <si>
    <t>Scion</t>
  </si>
  <si>
    <t>Shattered Ring</t>
  </si>
  <si>
    <t>Void Dwellers</t>
  </si>
  <si>
    <t>Necrophage</t>
  </si>
  <si>
    <t>Here Be Dragons</t>
  </si>
  <si>
    <t>Ocean Paradise</t>
  </si>
  <si>
    <t>Species</t>
  </si>
  <si>
    <t>Mammalian</t>
  </si>
  <si>
    <t>Reptilian</t>
  </si>
  <si>
    <t>Avian</t>
  </si>
  <si>
    <t>Arthropoid</t>
  </si>
  <si>
    <t>Molluscoid</t>
  </si>
  <si>
    <t>Fungoid</t>
  </si>
  <si>
    <t>Plantoid</t>
  </si>
  <si>
    <t>Lithoid</t>
  </si>
  <si>
    <t>Necroid</t>
  </si>
  <si>
    <t>Aquatic</t>
  </si>
  <si>
    <t>Machine</t>
  </si>
  <si>
    <t>Pops</t>
  </si>
  <si>
    <t>Fleet Power</t>
  </si>
  <si>
    <t>Galaxy #5</t>
  </si>
  <si>
    <t>Galaxy #4</t>
  </si>
  <si>
    <t>Galaxy #3</t>
  </si>
  <si>
    <t>Galaxy #7</t>
  </si>
  <si>
    <t>Galaxy #6</t>
  </si>
  <si>
    <t>Galaxy #2</t>
  </si>
  <si>
    <t>Galaxy #8</t>
  </si>
  <si>
    <t>Galaxy #10</t>
  </si>
  <si>
    <t>Galaxy #1</t>
  </si>
  <si>
    <t>Galaxy #9</t>
  </si>
  <si>
    <t>Species Count</t>
  </si>
  <si>
    <t>Humanoids</t>
  </si>
  <si>
    <t>Rank</t>
  </si>
  <si>
    <t>Galaxy #</t>
  </si>
  <si>
    <t>About this:</t>
  </si>
  <si>
    <t>The Standings worksheet is built from PowerQuery, to modify it - Data -&gt; Queries and Connections -&gt; and Edit the existing query on the right pane.</t>
  </si>
  <si>
    <t>Terran Empire Novirtue</t>
  </si>
  <si>
    <t>Mim Super Special Empire Directorate</t>
  </si>
  <si>
    <t>Mirovandia Mind</t>
  </si>
  <si>
    <t>Hive Mind</t>
  </si>
  <si>
    <t>Valkan Republican States</t>
  </si>
  <si>
    <t>Coaal Hive</t>
  </si>
  <si>
    <t>Kodranite Corporation</t>
  </si>
  <si>
    <t>Beastman Imperium</t>
  </si>
  <si>
    <t>Skaven Bank</t>
  </si>
  <si>
    <t>Agarthan Dominion</t>
  </si>
  <si>
    <t>Cryptoland</t>
  </si>
  <si>
    <t>Ethics Count</t>
  </si>
  <si>
    <t>Origins</t>
  </si>
  <si>
    <t>CHANGELOG</t>
  </si>
  <si>
    <t>v0.1a</t>
  </si>
  <si>
    <t>Set statistics to be represented in a data bar representation</t>
  </si>
  <si>
    <t>Missed Hive Minds from Species stats, added.</t>
  </si>
  <si>
    <t>Added Trait columns to Galaxy sheets (not populated yet)</t>
  </si>
  <si>
    <t>Jumps to nearest AI</t>
  </si>
  <si>
    <t>Area of Galaxy</t>
  </si>
  <si>
    <t>Rim location</t>
  </si>
  <si>
    <t>North</t>
  </si>
  <si>
    <t>East</t>
  </si>
  <si>
    <t>South</t>
  </si>
  <si>
    <t>West</t>
  </si>
  <si>
    <t>Rim Location</t>
  </si>
  <si>
    <t>Inner Rim</t>
  </si>
  <si>
    <t>Outer Rim</t>
  </si>
  <si>
    <t>Middle Rim</t>
  </si>
  <si>
    <t>Starting Direction</t>
  </si>
  <si>
    <t>Cutthroat Politics</t>
  </si>
  <si>
    <t>Efficient Bureaucracy</t>
  </si>
  <si>
    <t>Environmentalist</t>
  </si>
  <si>
    <t>Functional Architecture</t>
  </si>
  <si>
    <t>Mining Guilds</t>
  </si>
  <si>
    <t>Agrarian Idyll</t>
  </si>
  <si>
    <t>Aristocratic Elite</t>
  </si>
  <si>
    <t>Beacon of Liberty</t>
  </si>
  <si>
    <t>Citizen Service</t>
  </si>
  <si>
    <t>Corporate Dominion</t>
  </si>
  <si>
    <t>Corvée System</t>
  </si>
  <si>
    <t>Distinguished Admiralty</t>
  </si>
  <si>
    <t>Exalted Priesthood</t>
  </si>
  <si>
    <t>Feudal Society</t>
  </si>
  <si>
    <t>Free Haven</t>
  </si>
  <si>
    <t>Idealistic Foundation</t>
  </si>
  <si>
    <t>Imperial Cult</t>
  </si>
  <si>
    <t>Inward Perfection</t>
  </si>
  <si>
    <t>Meritocracy</t>
  </si>
  <si>
    <t>Nationalistic Zeal</t>
  </si>
  <si>
    <t>Parliamentary System</t>
  </si>
  <si>
    <t>Philosopher King</t>
  </si>
  <si>
    <t>Police State</t>
  </si>
  <si>
    <t>Shadow Council</t>
  </si>
  <si>
    <t>Slaver Guilds</t>
  </si>
  <si>
    <t>Technocracy</t>
  </si>
  <si>
    <t>Warrior Culture</t>
  </si>
  <si>
    <t>Catalytic Processing</t>
  </si>
  <si>
    <t>Idyllic Bloom</t>
  </si>
  <si>
    <t>Fanatic Purifiers</t>
  </si>
  <si>
    <t>Masterful Crafters</t>
  </si>
  <si>
    <t>Pleasure Seekers</t>
  </si>
  <si>
    <t>Pompous Purists</t>
  </si>
  <si>
    <t>Barbaric Despoilers</t>
  </si>
  <si>
    <t>Byzantine Bureaucracy</t>
  </si>
  <si>
    <t>Merchant Guilds</t>
  </si>
  <si>
    <t>Shared Burdens</t>
  </si>
  <si>
    <t>Diplomatic Corps</t>
  </si>
  <si>
    <t>Memorialists</t>
  </si>
  <si>
    <t>Reanimators</t>
  </si>
  <si>
    <t>Death Cult</t>
  </si>
  <si>
    <t>Anglers</t>
  </si>
  <si>
    <t>Criminal Heritage</t>
  </si>
  <si>
    <t>Franchising</t>
  </si>
  <si>
    <t>Free Traders</t>
  </si>
  <si>
    <t>Private Prospectors</t>
  </si>
  <si>
    <t>Trading Posts</t>
  </si>
  <si>
    <t>Brand Loyalty</t>
  </si>
  <si>
    <t>Gospel of the Masses</t>
  </si>
  <si>
    <t>Indentured Assets</t>
  </si>
  <si>
    <t>Media Conglomerate</t>
  </si>
  <si>
    <t>Naval Contractors</t>
  </si>
  <si>
    <t>Private Military Companies</t>
  </si>
  <si>
    <t>Ruthless Competition</t>
  </si>
  <si>
    <t>Added Spawn Location, Nearest AI (in Jumps) and added to Contents so a list can be produced.</t>
  </si>
  <si>
    <t>Updated Statistics to use a simpler (and less type heavy) method to base statistics off.</t>
  </si>
  <si>
    <t>Mastercraft Inc.</t>
  </si>
  <si>
    <t>Corporate Hedonism</t>
  </si>
  <si>
    <t>Public Relations Specialists</t>
  </si>
  <si>
    <t>Corporate Death Cult</t>
  </si>
  <si>
    <t>Permanent Employment</t>
  </si>
  <si>
    <t>Ascetic</t>
  </si>
  <si>
    <t>Divided Attention</t>
  </si>
  <si>
    <t>Natural Neural Network</t>
  </si>
  <si>
    <t>One Mind</t>
  </si>
  <si>
    <t>Pooled Knowledge</t>
  </si>
  <si>
    <t>Strength of Legions</t>
  </si>
  <si>
    <t>Subspace Ephapse</t>
  </si>
  <si>
    <t>Subsumed Will</t>
  </si>
  <si>
    <t>Devouring Swarm</t>
  </si>
  <si>
    <t>Terravore</t>
  </si>
  <si>
    <t>Empath</t>
  </si>
  <si>
    <t>Memorialist</t>
  </si>
  <si>
    <t>Constructobot</t>
  </si>
  <si>
    <t>Delegated Functions</t>
  </si>
  <si>
    <t>Factory Overclocking</t>
  </si>
  <si>
    <t>Introspective</t>
  </si>
  <si>
    <t>Maintenance Protocols</t>
  </si>
  <si>
    <t>OTA Updates</t>
  </si>
  <si>
    <t>Rapid Replicator</t>
  </si>
  <si>
    <t>Rockbreakers</t>
  </si>
  <si>
    <t>Static Research Analysis</t>
  </si>
  <si>
    <t>Unitary Cohesion</t>
  </si>
  <si>
    <t>Warbots</t>
  </si>
  <si>
    <t>Zero-Waste Protocols</t>
  </si>
  <si>
    <t>Determined Exterminator</t>
  </si>
  <si>
    <t>Driven Assimilator</t>
  </si>
  <si>
    <t>Rogue Servitor</t>
  </si>
  <si>
    <t>Average</t>
  </si>
  <si>
    <t>Minimum</t>
  </si>
  <si>
    <t>Maximum</t>
  </si>
  <si>
    <t>Civic 1</t>
  </si>
  <si>
    <t>Civic 2</t>
  </si>
  <si>
    <t>Civic Count</t>
  </si>
  <si>
    <t>Added Civics list to contents, populated for galaxies 1-4. Added to statistics</t>
  </si>
  <si>
    <t>Added the data columns for Spawn Location, AI distance and Rim location.</t>
  </si>
  <si>
    <t>Distance to Nearest AI (in Jumps)</t>
  </si>
  <si>
    <t>Total</t>
  </si>
  <si>
    <t>General Spawn Area in Galaxy</t>
  </si>
  <si>
    <t>Added above into Statistics and marked up.</t>
  </si>
  <si>
    <t>v0.2</t>
  </si>
  <si>
    <t>Re-ordered Trait columns (upto 8 at the moment) ready to be filled in.</t>
  </si>
  <si>
    <t xml:space="preserve">When populating a Galaxy sheet, this references information in the CONTENTS worksheet to build 'Lists' to build from. </t>
  </si>
  <si>
    <t xml:space="preserve">So if your playing with a mod or a new version of Stellaris comes along and want to add for e.g. New Civics. </t>
  </si>
  <si>
    <t>1. You need to add the Civics to the list in the CONTENTS sheet.</t>
  </si>
  <si>
    <t>2. In each Galaxy worksheet, go to the Civic fields, select them all and go to Data tab and click Data Validation button and altar the range it uses to pick up the new fields in CONTENTS.</t>
  </si>
  <si>
    <t>3. Make room in the Statistics / Standings worksheet as you need to for these extra values.</t>
  </si>
  <si>
    <t>Civics</t>
  </si>
  <si>
    <t>Finished implementing distance statistics for none-entered galaxies (ready to auto calc).</t>
  </si>
  <si>
    <t>Deleted empty rows from each Galaxy that was being reported on needlessly. (Was 200 rows in total and should have always just been 100, in this current tournament)</t>
  </si>
  <si>
    <t>Adaptive</t>
  </si>
  <si>
    <t>Extremely Adaptive</t>
  </si>
  <si>
    <t>Agrarian</t>
  </si>
  <si>
    <t>Charismatic</t>
  </si>
  <si>
    <t>Communal</t>
  </si>
  <si>
    <t>Conformists</t>
  </si>
  <si>
    <t>Conservationist</t>
  </si>
  <si>
    <t>Docile</t>
  </si>
  <si>
    <t>Enduring</t>
  </si>
  <si>
    <t>Venerable</t>
  </si>
  <si>
    <t>Industrious</t>
  </si>
  <si>
    <t>Ingenious</t>
  </si>
  <si>
    <t>Intelligent</t>
  </si>
  <si>
    <t>Natural Engineers</t>
  </si>
  <si>
    <t>Natural Physicists</t>
  </si>
  <si>
    <t>Natural Sociologists</t>
  </si>
  <si>
    <t>Nomadic</t>
  </si>
  <si>
    <t>Quick Learners</t>
  </si>
  <si>
    <t>Rapid Breeders</t>
  </si>
  <si>
    <t>Resilient</t>
  </si>
  <si>
    <t>Strong</t>
  </si>
  <si>
    <t>Very Strong</t>
  </si>
  <si>
    <t>Talented</t>
  </si>
  <si>
    <t>Traditional</t>
  </si>
  <si>
    <t>Thrifty</t>
  </si>
  <si>
    <t>Nonadaptive</t>
  </si>
  <si>
    <t>Repugnant</t>
  </si>
  <si>
    <t>Solitary</t>
  </si>
  <si>
    <t>Deviants</t>
  </si>
  <si>
    <t>Wasteful</t>
  </si>
  <si>
    <t>Fleeting</t>
  </si>
  <si>
    <t>Sedentary</t>
  </si>
  <si>
    <t>Slow Learners</t>
  </si>
  <si>
    <t>Slow Breeders</t>
  </si>
  <si>
    <t>Weak</t>
  </si>
  <si>
    <t>Decadent</t>
  </si>
  <si>
    <t>Good Traits</t>
  </si>
  <si>
    <t>Bad Traits</t>
  </si>
  <si>
    <t>Unruly</t>
  </si>
  <si>
    <t>Phototrophic</t>
  </si>
  <si>
    <t>Radiotrophic</t>
  </si>
  <si>
    <t>Budding</t>
  </si>
  <si>
    <t>Gaseous Byproducts</t>
  </si>
  <si>
    <t>Volatile Excretions</t>
  </si>
  <si>
    <t>Serviles</t>
  </si>
  <si>
    <t>Clone Soldier</t>
  </si>
  <si>
    <t>Survivor</t>
  </si>
  <si>
    <t>Void Dweller</t>
  </si>
  <si>
    <t>Planet Preference</t>
  </si>
  <si>
    <t>Quarrelsome</t>
  </si>
  <si>
    <t>Arid</t>
  </si>
  <si>
    <t>Desert</t>
  </si>
  <si>
    <t>Savannah</t>
  </si>
  <si>
    <t>Alpine</t>
  </si>
  <si>
    <t>Arctic</t>
  </si>
  <si>
    <t>Tundra</t>
  </si>
  <si>
    <t>Continental</t>
  </si>
  <si>
    <t>Ocean</t>
  </si>
  <si>
    <t>Tropical</t>
  </si>
  <si>
    <t>Mechanical</t>
  </si>
  <si>
    <t>Domestic Protocols</t>
  </si>
  <si>
    <t>Double Jointed</t>
  </si>
  <si>
    <t>Durable</t>
  </si>
  <si>
    <t>Efficient Processors</t>
  </si>
  <si>
    <t>Emotion Emulators</t>
  </si>
  <si>
    <t>Enhanced Memory</t>
  </si>
  <si>
    <t>Harvesters</t>
  </si>
  <si>
    <t>Learning Algorithms</t>
  </si>
  <si>
    <t>Logic Engines</t>
  </si>
  <si>
    <t>Loyalty Circuits</t>
  </si>
  <si>
    <t>Mass-Produced</t>
  </si>
  <si>
    <t>Power Drills</t>
  </si>
  <si>
    <t>Recycled</t>
  </si>
  <si>
    <t>Propaganda Machines</t>
  </si>
  <si>
    <t>Superconductive</t>
  </si>
  <si>
    <t>Bulky</t>
  </si>
  <si>
    <t>High Maintenance</t>
  </si>
  <si>
    <t>Uncanny</t>
  </si>
  <si>
    <t>Repurposed Hardware</t>
  </si>
  <si>
    <t>Custom-Made</t>
  </si>
  <si>
    <t>Luxurious</t>
  </si>
  <si>
    <t>High Bandwidth</t>
  </si>
  <si>
    <t>Added Traits, split into 'Good' and 'Bad' as well as Preferred Planet into Contents, ready to be added to each Galaxy as new columns</t>
  </si>
  <si>
    <t>Tomb World</t>
  </si>
  <si>
    <t>Gaia World</t>
  </si>
  <si>
    <t>Habitat</t>
  </si>
  <si>
    <t>Ring World</t>
  </si>
  <si>
    <t>AI World</t>
  </si>
  <si>
    <t>Machine World</t>
  </si>
  <si>
    <t>Relic World</t>
  </si>
  <si>
    <t>Good Trait 1</t>
  </si>
  <si>
    <t>Good Trait 2</t>
  </si>
  <si>
    <t>Good Trait 3</t>
  </si>
  <si>
    <t>Good Trait 4</t>
  </si>
  <si>
    <t>Good Trait 5</t>
  </si>
  <si>
    <t>Bad Trait 1</t>
  </si>
  <si>
    <t>Bad Trait 2</t>
  </si>
  <si>
    <t>Bad Trait 3</t>
  </si>
  <si>
    <t>Streamlined Protocols</t>
  </si>
  <si>
    <t>Hive-Minded</t>
  </si>
  <si>
    <t>Scintillating Skin</t>
  </si>
  <si>
    <t>Bad Trait 22</t>
  </si>
  <si>
    <t>Renamed and split Trait columns in Galaxies to match 'Good' and Bad' for ^, added column for Planet Preference and Distance stats down one and adjusted statistics accordingly</t>
  </si>
  <si>
    <t>Traits count</t>
  </si>
  <si>
    <t>Good</t>
  </si>
  <si>
    <t>Bad</t>
  </si>
  <si>
    <t>Column2</t>
  </si>
  <si>
    <t>Most information in GALAXY # worksheets are filtered by 'Data Correction' Lists in Excel which you can modify and increase the range of cells selected from CONTENTS in.</t>
  </si>
  <si>
    <t>It is quite generic statistics but gives you the means to do some advanced statistics, if its something your interested in.</t>
  </si>
  <si>
    <t>Preferred Planet type count</t>
  </si>
  <si>
    <t>CONTENTS worksheet are the values used to build Lists from. E.g. When a Stellaris update is released and a new civic is added or renamed, you'll need to edit this.</t>
  </si>
  <si>
    <t xml:space="preserve">GALAXY # worksheets are literally as they sound and are limited to 10 presently with 10 empires each. Enter as much information as you like. </t>
  </si>
  <si>
    <t>The STATISTICS worksheet simply refers to information in each Galaxy sheet and uses cell references to get exactly whats required.</t>
  </si>
  <si>
    <t>Conditional formatting is set per Galaxy worksheet to highlight strong fleet power, pops, point won and galaxy points. Same for Standings sheet and is used for Statistics. Glory to the colours!</t>
  </si>
  <si>
    <t>This Excel file is built for Thoughtful Gaming but it is free to use to run your own league. See QA below for tailoring it to your own league.</t>
  </si>
  <si>
    <t xml:space="preserve">1a. You can simply add them as new rows and when you refresh the data set, the Standings will add those extra rows too. </t>
  </si>
  <si>
    <t>But to add them to be counted as Statistics is a little more time consuming and you will need to extend the 'cell' ranges that refer to for e.g. (below) and edit the part that shows C2:C11 to C2:C21 (for 20 empires) worth of data.</t>
  </si>
  <si>
    <t>2. I want to have a much larger tournament and have more than 10 galaxies!</t>
  </si>
  <si>
    <t>Add your empire data and the Standings worksheet, after a data refresh, will show your new galaxies (is it true though?)</t>
  </si>
  <si>
    <t>Optionally, if you want statistics, follow Step 2 and 3.</t>
  </si>
  <si>
    <t>2a. You may find it easier to just create a second spreadsheet like this but if not follow these steps.</t>
  </si>
  <si>
    <t>Step 1 - You will need to add in as many new worksheets as you want more galaxies and order them to be between the Contents worksheet and the Statistics worksheet.</t>
  </si>
  <si>
    <t>Step 2, in the Statistics worksheet you need to add the new worksheet names (your new galaxies!) to the Q column.</t>
  </si>
  <si>
    <t>Step 3, now expand the Statistics themselves to look the expanded Q column ranges. (Most time consuming job!)</t>
  </si>
  <si>
    <t>1. I want to add more 10 empires per galaxy!</t>
  </si>
  <si>
    <t>v0.3</t>
  </si>
  <si>
    <t>Added Statistic fields and reorganised existing tables for the new Trait and Planetary Preference stats.</t>
  </si>
  <si>
    <t>Re-organised and re-done this How to Use worksheet</t>
  </si>
  <si>
    <t>DON’T CHANGE THIS TABLE UNLESS YOUR ADDING MORE OR LESS GALAXIES</t>
  </si>
  <si>
    <t>You can filter results by clicking the button in the top most column to highlight interesting facts and apply custom sorting to display galaxies how you want.</t>
  </si>
  <si>
    <t>Adding empire information instantly adds to the Statistics worksheet but the Standing worksheet won't update until you either close and re-open excel or click Data tab -&gt; Refresh All.</t>
  </si>
  <si>
    <t>3. How do I add new statistics?</t>
  </si>
  <si>
    <t xml:space="preserve">3a. Look at copying the formula used in an existing statistic and modifying it to get familiar with how its done. </t>
  </si>
  <si>
    <t>Mostly it looks at the worksheet numbers to look up (the Q column cells) to get each Galaxy looked up, then the specific cell range that covers the statistic followed by if its looking for a specific word.</t>
  </si>
  <si>
    <t>E.g. '=SUMPRODUCT(COUNTIF(INDIRECT("'"&amp;Q4:Q12&amp;"'!D2:F11"),"Pacifist"))'</t>
  </si>
  <si>
    <t>Finished populating statistics and removing problems for Galaxies 1-5 and addresses minor formatting issues</t>
  </si>
  <si>
    <t>Fixed missing Here Be Dragons origin in Statistics.</t>
  </si>
  <si>
    <t>Fixed Civics not all being calculated due to a column shift in every Galaxy.</t>
  </si>
  <si>
    <t>4. How do I enter Distance to nearest AI, Area of Spawn etc sections.</t>
  </si>
  <si>
    <t>KNOWN ISSUES</t>
  </si>
  <si>
    <t>1. If a empire picks Remnants or similar origin that pre-selects a planetary preference, the game itself won't update if the empire has then chosen a different planet preference.</t>
  </si>
  <si>
    <t>v0.4</t>
  </si>
  <si>
    <t>Deleted thousands of empty columns in CONTENTS (tidyup) which made the file 5 times its actual size</t>
  </si>
  <si>
    <t>Empty</t>
  </si>
  <si>
    <t>TOTALS</t>
  </si>
  <si>
    <t>Added a Totals count to the O column of Statistics for general stats.</t>
  </si>
  <si>
    <t>Harmonised the bottom most area of Statistics to be more readible both in colour and borders</t>
  </si>
  <si>
    <t>Overall Average (Ignoring 0)</t>
  </si>
  <si>
    <t>FYI: Outer, Inner, Middle, I count this as within 3 jumps of the outermost or innermost system. Everything else is the middle. :-). Use whatever rules you want for this though if you want.</t>
  </si>
  <si>
    <r>
      <t>Inner, Outer or Middle of Rim spawn (</t>
    </r>
    <r>
      <rPr>
        <i/>
        <sz val="11"/>
        <color theme="1"/>
        <rFont val="Calibri"/>
        <family val="2"/>
        <scheme val="minor"/>
      </rPr>
      <t>Inner/Outer = within 3 jumps of edge systems</t>
    </r>
    <r>
      <rPr>
        <b/>
        <sz val="11"/>
        <color theme="1"/>
        <rFont val="Calibri"/>
        <family val="2"/>
        <scheme val="minor"/>
      </rPr>
      <t>)</t>
    </r>
  </si>
  <si>
    <t>Replaced Average= with AverageIF so can ignore 0s - ,"&lt;&gt;0" on Averages for AI distance etc on M51-M53 on Statistics so unfilled galaxies do not ruin those stats.</t>
  </si>
  <si>
    <t>Fix Fan. Xenophiles not being counted</t>
  </si>
  <si>
    <t>Added Ocean Paradise origin which was missing to the Origins count.</t>
  </si>
  <si>
    <t>v0.4a</t>
  </si>
  <si>
    <t>Section</t>
  </si>
  <si>
    <t>Information</t>
  </si>
  <si>
    <t>Q&amp;A:</t>
  </si>
  <si>
    <t>TIPS:</t>
  </si>
  <si>
    <t>Fixed Average count errors(divide by zero for unentered galaxies) for Distance to AI by wrapping the formula into IsError to give a result of "No Input"</t>
  </si>
  <si>
    <t>Formatted this How to Use worksheet so it’s a bit nicer on the eyes</t>
  </si>
  <si>
    <t>North East</t>
  </si>
  <si>
    <t>South East</t>
  </si>
  <si>
    <t>South West</t>
  </si>
  <si>
    <t>North West</t>
  </si>
  <si>
    <t>This skews figures for Planet preferences for planetoids such as Relic World preference, as you're likely counting from what you see in the Empire menu only.</t>
  </si>
  <si>
    <t>5. What are "Win Points"?</t>
  </si>
  <si>
    <t>4a. You have to manually count the jumps yourself from the galaxy screen at year 2200.01.01 and submit it in the galaxy information per empire, same for the others.</t>
  </si>
  <si>
    <t>FILENAME</t>
  </si>
  <si>
    <r>
      <rPr>
        <b/>
        <sz val="11"/>
        <color theme="1"/>
        <rFont val="Calibri"/>
        <family val="2"/>
        <scheme val="minor"/>
      </rPr>
      <t>v0.5</t>
    </r>
    <r>
      <rPr>
        <sz val="11"/>
        <color theme="1"/>
        <rFont val="Calibri"/>
        <family val="2"/>
        <scheme val="minor"/>
      </rPr>
      <t xml:space="preserve"> --Overlord and fixes</t>
    </r>
  </si>
  <si>
    <t>Imperial Fiefdom</t>
  </si>
  <si>
    <t>Teachers of the Shroud</t>
  </si>
  <si>
    <t>Slingshot to the Stars</t>
  </si>
  <si>
    <t>Subterranean</t>
  </si>
  <si>
    <t>Progenitor Hive</t>
  </si>
  <si>
    <t>Added new Overlord Origins</t>
  </si>
  <si>
    <t>Overlord/Subject</t>
  </si>
  <si>
    <t>Overlord</t>
  </si>
  <si>
    <t>Bulwark</t>
  </si>
  <si>
    <t>Prospectorium</t>
  </si>
  <si>
    <t>Scholarium</t>
  </si>
  <si>
    <t>Subterreanean</t>
  </si>
  <si>
    <t>Overlord / Vassal Type</t>
  </si>
  <si>
    <t>Added Overlord / Vassal Types as a Z column per galaxy which is then used in a new STATISTIC</t>
  </si>
  <si>
    <t>STANDINGS worksheet will now continue to function even if you rename the file and move it to other directories. (PowerQuery was using a hard coded path and name of the workbook) and uses</t>
  </si>
  <si>
    <t xml:space="preserve"> a global defined name "FilepathAndName"</t>
  </si>
  <si>
    <t>Added Overlord statistics on number of Overlords/Vassal types</t>
  </si>
  <si>
    <t>Re-organised STATISTICS layout to be more readable.</t>
  </si>
  <si>
    <t>GALAXY SHEETS expanded up to 30 each, making it easier if you did decide to add in that many entrants.</t>
  </si>
  <si>
    <t>STANDINGS worksheet now contains a column if the empire was an Overlord or a specialist vassal</t>
  </si>
  <si>
    <t xml:space="preserve">5. Think of them as points your awarding an empire based on their position at the end of a galaxy. Create your own structure but a good suggestion </t>
  </si>
  <si>
    <t>be like what they do for Formula 1 racing championships, a point system that scales down the lower you finish, none-finishers getting a default amount or even 0.</t>
  </si>
  <si>
    <r>
      <t xml:space="preserve">It is designed for </t>
    </r>
    <r>
      <rPr>
        <b/>
        <u/>
        <sz val="11"/>
        <color theme="1"/>
        <rFont val="Calibri"/>
        <family val="2"/>
        <scheme val="minor"/>
      </rPr>
      <t>3.4.2 of Stellaris</t>
    </r>
    <r>
      <rPr>
        <sz val="11"/>
        <color theme="1"/>
        <rFont val="Calibri"/>
        <family val="2"/>
        <scheme val="minor"/>
      </rPr>
      <t>.</t>
    </r>
  </si>
  <si>
    <t>v0.5 by (Discord) @Selk#1047 or Foxosaur on PDX forums</t>
  </si>
  <si>
    <t>Overlord / Specialist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</si>
</sst>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i/>
      <sz val="11"/>
      <color theme="1"/>
      <name val="Calibri"/>
      <family val="2"/>
      <scheme val="minor"/>
    </font>
    <font>
      <b/>
      <sz val="8"/>
      <color rgb="FF1E1E1E"/>
      <name val="Segoe UI"/>
      <family val="2"/>
    </font>
    <font>
      <b/>
      <i/>
      <sz val="11"/>
      <color theme="1"/>
      <name val="Calibri"/>
      <family val="2"/>
      <scheme val="minor"/>
    </font>
  </fonts>
  <fills count="3">
    <fill>
      <patternFill patternType="none"/>
    </fill>
    <fill>
      <patternFill patternType="gray125"/>
    </fill>
    <fill>
      <patternFill patternType="solid">
        <fgColor theme="9" tint="0.39994506668294322"/>
        <bgColor indexed="64"/>
      </patternFill>
    </fill>
  </fills>
  <borders count="26">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right/>
      <top style="thin">
        <color theme="9" tint="0.39997558519241921"/>
      </top>
      <bottom style="thin">
        <color theme="9" tint="0.39997558519241921"/>
      </bottom>
      <diagonal/>
    </border>
    <border>
      <left/>
      <right/>
      <top style="thick">
        <color auto="1"/>
      </top>
      <bottom style="thin">
        <color theme="9" tint="0.39997558519241921"/>
      </bottom>
      <diagonal/>
    </border>
    <border>
      <left/>
      <right style="thick">
        <color auto="1"/>
      </right>
      <top style="thick">
        <color auto="1"/>
      </top>
      <bottom style="thin">
        <color theme="9" tint="0.39997558519241921"/>
      </bottom>
      <diagonal/>
    </border>
    <border>
      <left style="thick">
        <color auto="1"/>
      </left>
      <right style="thick">
        <color auto="1"/>
      </right>
      <top style="thick">
        <color auto="1"/>
      </top>
      <bottom style="thick">
        <color auto="1"/>
      </bottom>
      <diagonal/>
    </border>
    <border>
      <left style="thick">
        <color auto="1"/>
      </left>
      <right/>
      <top style="thin">
        <color theme="9"/>
      </top>
      <bottom/>
      <diagonal/>
    </border>
    <border>
      <left/>
      <right style="thick">
        <color auto="1"/>
      </right>
      <top style="thin">
        <color theme="9"/>
      </top>
      <bottom/>
      <diagonal/>
    </border>
    <border>
      <left style="thick">
        <color auto="1"/>
      </left>
      <right/>
      <top style="thin">
        <color theme="9"/>
      </top>
      <bottom style="thick">
        <color auto="1"/>
      </bottom>
      <diagonal/>
    </border>
    <border>
      <left/>
      <right style="thick">
        <color auto="1"/>
      </right>
      <top style="thin">
        <color theme="9"/>
      </top>
      <bottom style="thick">
        <color auto="1"/>
      </bottom>
      <diagonal/>
    </border>
    <border>
      <left style="thick">
        <color theme="9"/>
      </left>
      <right/>
      <top/>
      <bottom/>
      <diagonal/>
    </border>
    <border>
      <left/>
      <right/>
      <top style="thin">
        <color theme="9" tint="0.39997558519241921"/>
      </top>
      <bottom style="thin">
        <color theme="9" tint="0.39994506668294322"/>
      </bottom>
      <diagonal/>
    </border>
    <border>
      <left/>
      <right style="thick">
        <color theme="1"/>
      </right>
      <top style="thin">
        <color theme="9" tint="0.39997558519241921"/>
      </top>
      <bottom style="thin">
        <color theme="9" tint="0.39994506668294322"/>
      </bottom>
      <diagonal/>
    </border>
    <border>
      <left/>
      <right style="thick">
        <color theme="1"/>
      </right>
      <top style="thin">
        <color theme="9" tint="0.39997558519241921"/>
      </top>
      <bottom style="thin">
        <color theme="9" tint="0.39997558519241921"/>
      </bottom>
      <diagonal/>
    </border>
    <border>
      <left/>
      <right style="thick">
        <color theme="1"/>
      </right>
      <top/>
      <bottom/>
      <diagonal/>
    </border>
    <border>
      <left/>
      <right style="thick">
        <color auto="1"/>
      </right>
      <top/>
      <bottom style="thin">
        <color theme="9"/>
      </bottom>
      <diagonal/>
    </border>
  </borders>
  <cellStyleXfs count="1">
    <xf numFmtId="0" fontId="0" fillId="0" borderId="0"/>
  </cellStyleXfs>
  <cellXfs count="64">
    <xf numFmtId="0" fontId="0" fillId="0" borderId="0" xfId="0"/>
    <xf numFmtId="0" fontId="0" fillId="0" borderId="0" xfId="0" applyAlignment="1">
      <alignment horizontal="center"/>
    </xf>
    <xf numFmtId="0" fontId="0" fillId="0" borderId="0" xfId="0" applyNumberForma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1" xfId="0" applyFont="1" applyBorder="1"/>
    <xf numFmtId="0" fontId="0" fillId="0" borderId="7" xfId="0" applyBorder="1" applyAlignment="1">
      <alignment horizontal="left"/>
    </xf>
    <xf numFmtId="0" fontId="0" fillId="0" borderId="0" xfId="0" applyBorder="1" applyAlignment="1">
      <alignment horizontal="left"/>
    </xf>
    <xf numFmtId="0" fontId="0" fillId="0" borderId="5" xfId="0" applyBorder="1" applyAlignment="1">
      <alignment horizontal="left"/>
    </xf>
    <xf numFmtId="0" fontId="2" fillId="0" borderId="4" xfId="0" applyFont="1" applyBorder="1"/>
    <xf numFmtId="0" fontId="2" fillId="0" borderId="1" xfId="0" applyFont="1" applyBorder="1" applyAlignment="1"/>
    <xf numFmtId="0" fontId="2" fillId="0" borderId="2" xfId="0" applyFont="1" applyBorder="1" applyAlignment="1"/>
    <xf numFmtId="0" fontId="0" fillId="0" borderId="11" xfId="0" applyBorder="1"/>
    <xf numFmtId="0" fontId="0" fillId="0" borderId="0" xfId="0" applyFill="1" applyBorder="1"/>
    <xf numFmtId="0" fontId="0" fillId="0" borderId="5" xfId="0" applyFill="1" applyBorder="1"/>
    <xf numFmtId="0" fontId="0" fillId="0" borderId="1" xfId="0" applyFill="1" applyBorder="1"/>
    <xf numFmtId="0" fontId="0" fillId="0" borderId="1" xfId="0" applyBorder="1"/>
    <xf numFmtId="0" fontId="0" fillId="0" borderId="13" xfId="0" applyFont="1" applyFill="1" applyBorder="1"/>
    <xf numFmtId="0" fontId="0" fillId="0" borderId="14" xfId="0" applyFont="1" applyFill="1" applyBorder="1"/>
    <xf numFmtId="0" fontId="0" fillId="0" borderId="12" xfId="0" applyFont="1" applyFill="1" applyBorder="1"/>
    <xf numFmtId="0" fontId="2" fillId="0" borderId="1" xfId="0" applyFont="1" applyFill="1" applyBorder="1"/>
    <xf numFmtId="0" fontId="0" fillId="0" borderId="9" xfId="0" applyFill="1" applyBorder="1"/>
    <xf numFmtId="0" fontId="2" fillId="0" borderId="0" xfId="0" applyFont="1" applyBorder="1"/>
    <xf numFmtId="0" fontId="2" fillId="0" borderId="5" xfId="0" applyFont="1" applyBorder="1"/>
    <xf numFmtId="0" fontId="2" fillId="0" borderId="4" xfId="0" applyFont="1" applyFill="1" applyBorder="1"/>
    <xf numFmtId="0" fontId="2" fillId="0" borderId="0" xfId="0" applyFont="1" applyFill="1" applyBorder="1"/>
    <xf numFmtId="0" fontId="2" fillId="0" borderId="5" xfId="0" applyFont="1" applyFill="1" applyBorder="1"/>
    <xf numFmtId="0" fontId="2" fillId="0" borderId="2" xfId="0" applyFont="1" applyBorder="1"/>
    <xf numFmtId="0" fontId="2" fillId="0" borderId="9" xfId="0" applyFont="1" applyBorder="1"/>
    <xf numFmtId="0" fontId="0" fillId="0" borderId="15" xfId="0" applyBorder="1"/>
    <xf numFmtId="0" fontId="0" fillId="0" borderId="15" xfId="0" applyFill="1" applyBorder="1"/>
    <xf numFmtId="0" fontId="0" fillId="2" borderId="10" xfId="0" applyFill="1" applyBorder="1"/>
    <xf numFmtId="0" fontId="0" fillId="2" borderId="11" xfId="0" applyFill="1" applyBorder="1"/>
    <xf numFmtId="0" fontId="6" fillId="0" borderId="0" xfId="0" applyFont="1"/>
    <xf numFmtId="0" fontId="0" fillId="0" borderId="5" xfId="0" quotePrefix="1" applyBorder="1"/>
    <xf numFmtId="0" fontId="4" fillId="0" borderId="5" xfId="0" applyFont="1" applyBorder="1"/>
    <xf numFmtId="0" fontId="5" fillId="0" borderId="5" xfId="0" applyFont="1" applyBorder="1"/>
    <xf numFmtId="0" fontId="7" fillId="0" borderId="5" xfId="0" applyFont="1" applyBorder="1"/>
    <xf numFmtId="0" fontId="0" fillId="0" borderId="16" xfId="0" applyFont="1" applyBorder="1"/>
    <xf numFmtId="0" fontId="2" fillId="0" borderId="17" xfId="0" applyFont="1" applyBorder="1"/>
    <xf numFmtId="0" fontId="0" fillId="0" borderId="18" xfId="0" applyFont="1" applyBorder="1"/>
    <xf numFmtId="0" fontId="2" fillId="0" borderId="19" xfId="0" applyFont="1" applyBorder="1"/>
    <xf numFmtId="0" fontId="0" fillId="0" borderId="20" xfId="0" applyBorder="1"/>
    <xf numFmtId="0" fontId="0" fillId="0" borderId="9" xfId="0" applyBorder="1" applyAlignment="1"/>
    <xf numFmtId="0" fontId="0" fillId="0" borderId="10" xfId="0" applyBorder="1" applyAlignment="1"/>
    <xf numFmtId="0" fontId="0" fillId="0" borderId="11" xfId="0" applyBorder="1" applyAlignment="1"/>
    <xf numFmtId="0" fontId="0" fillId="0" borderId="10" xfId="0" applyBorder="1"/>
    <xf numFmtId="0" fontId="0" fillId="0" borderId="9" xfId="0" applyBorder="1"/>
    <xf numFmtId="0" fontId="0" fillId="0" borderId="0" xfId="0" applyAlignment="1"/>
    <xf numFmtId="0" fontId="0" fillId="0" borderId="9" xfId="0" applyBorder="1" applyAlignment="1"/>
    <xf numFmtId="0" fontId="0" fillId="0" borderId="10" xfId="0" applyBorder="1" applyAlignment="1"/>
    <xf numFmtId="0" fontId="0" fillId="0" borderId="11" xfId="0" applyBorder="1" applyAlignment="1"/>
    <xf numFmtId="0" fontId="0" fillId="0" borderId="21" xfId="0" applyBorder="1"/>
    <xf numFmtId="0" fontId="0" fillId="0" borderId="23" xfId="0" applyFont="1" applyFill="1" applyBorder="1"/>
    <xf numFmtId="0" fontId="0" fillId="0" borderId="23" xfId="0" applyFont="1" applyBorder="1"/>
    <xf numFmtId="0" fontId="0" fillId="0" borderId="24" xfId="0" applyBorder="1"/>
    <xf numFmtId="0" fontId="0" fillId="0" borderId="22" xfId="0" applyBorder="1"/>
    <xf numFmtId="0" fontId="0" fillId="0" borderId="25" xfId="0" applyBorder="1"/>
  </cellXfs>
  <cellStyles count="1">
    <cellStyle name="Normal" xfId="0" builtinId="0"/>
  </cellStyles>
  <dxfs count="247">
    <dxf>
      <font>
        <b/>
        <i val="0"/>
        <color theme="0"/>
      </font>
      <fill>
        <patternFill>
          <bgColor theme="1"/>
        </patternFill>
      </fill>
      <border>
        <left style="thin">
          <color rgb="FFFF0000"/>
        </left>
        <right style="thin">
          <color rgb="FFFF0000"/>
        </right>
        <top style="thin">
          <color rgb="FFFF0000"/>
        </top>
        <bottom style="thin">
          <color rgb="FFFF0000"/>
        </bottom>
        <vertical/>
        <horizontal/>
      </border>
    </dxf>
    <dxf>
      <font>
        <b/>
        <i val="0"/>
        <color rgb="FFDF3A29"/>
      </font>
      <fill>
        <patternFill>
          <fgColor auto="1"/>
          <bgColor rgb="FFFE4C4C"/>
        </patternFill>
      </fill>
    </dxf>
    <dxf>
      <font>
        <b/>
        <i val="0"/>
        <color theme="4" tint="-0.24994659260841701"/>
      </font>
      <fill>
        <patternFill>
          <bgColor theme="4" tint="0.39994506668294322"/>
        </patternFill>
      </fill>
    </dxf>
    <dxf>
      <font>
        <b/>
        <i val="0"/>
        <color theme="7" tint="-0.24994659260841701"/>
      </font>
      <fill>
        <patternFill>
          <bgColor theme="7" tint="0.59996337778862885"/>
        </patternFill>
      </fill>
    </dxf>
    <dxf>
      <font>
        <b/>
        <i val="0"/>
        <color rgb="FFBE2B1C"/>
      </font>
      <fill>
        <patternFill>
          <fgColor auto="1"/>
          <bgColor rgb="FFFE4C4C"/>
        </patternFill>
      </fill>
    </dxf>
    <dxf>
      <font>
        <b/>
        <i val="0"/>
        <color theme="0"/>
      </font>
      <fill>
        <patternFill>
          <bgColor theme="1"/>
        </patternFill>
      </fill>
      <border>
        <left style="thin">
          <color rgb="FFFF0000"/>
        </left>
        <right style="thin">
          <color rgb="FFFF0000"/>
        </right>
        <top style="thin">
          <color rgb="FFFF0000"/>
        </top>
        <bottom style="thin">
          <color rgb="FFFF0000"/>
        </bottom>
        <vertical/>
        <horizontal/>
      </border>
    </dxf>
    <dxf>
      <font>
        <b/>
        <i val="0"/>
        <color theme="4" tint="-0.24994659260841701"/>
      </font>
      <fill>
        <patternFill>
          <bgColor theme="4" tint="0.39994506668294322"/>
        </patternFill>
      </fill>
    </dxf>
    <dxf>
      <font>
        <b/>
        <i val="0"/>
        <color theme="7" tint="-0.24994659260841701"/>
      </font>
      <fill>
        <patternFill>
          <bgColor theme="7" tint="0.59996337778862885"/>
        </patternFill>
      </fill>
    </dxf>
    <dxf>
      <font>
        <b/>
        <i val="0"/>
        <color auto="1"/>
      </font>
      <fill>
        <patternFill>
          <bgColor rgb="FFEA2D00"/>
        </patternFill>
      </fill>
      <border>
        <left style="thin">
          <color auto="1"/>
        </left>
        <right style="thin">
          <color auto="1"/>
        </right>
        <top style="thin">
          <color auto="1"/>
        </top>
        <bottom style="thin">
          <color auto="1"/>
        </bottom>
        <vertical/>
        <horizontal/>
      </border>
    </dxf>
    <dxf>
      <font>
        <color rgb="FFB82B20"/>
      </font>
      <fill>
        <patternFill>
          <fgColor auto="1"/>
          <bgColor rgb="FFEC5E87"/>
        </patternFill>
      </fill>
    </dxf>
    <dxf>
      <font>
        <b/>
        <i val="0"/>
        <color theme="4" tint="-0.24994659260841701"/>
      </font>
      <fill>
        <patternFill>
          <bgColor theme="4" tint="0.39994506668294322"/>
        </patternFill>
      </fill>
    </dxf>
    <dxf>
      <font>
        <b/>
        <i val="0"/>
        <color theme="7" tint="-0.24994659260841701"/>
      </font>
      <fill>
        <patternFill>
          <bgColor theme="7" tint="0.59996337778862885"/>
        </patternFill>
      </fill>
    </dxf>
    <dxf>
      <font>
        <color rgb="FFB82B20"/>
      </font>
      <fill>
        <patternFill>
          <fgColor auto="1"/>
          <bgColor rgb="FFEC5E87"/>
        </patternFill>
      </fill>
    </dxf>
    <dxf>
      <font>
        <b/>
        <i val="0"/>
        <color theme="4" tint="-0.24994659260841701"/>
      </font>
      <fill>
        <patternFill>
          <bgColor theme="4" tint="0.39994506668294322"/>
        </patternFill>
      </fill>
    </dxf>
    <dxf>
      <font>
        <b/>
        <i val="0"/>
        <color theme="7" tint="-0.24994659260841701"/>
      </font>
      <fill>
        <patternFill>
          <bgColor theme="7" tint="0.59996337778862885"/>
        </patternFill>
      </fill>
    </dxf>
    <dxf>
      <font>
        <b/>
        <i val="0"/>
        <color theme="7" tint="-0.24994659260841701"/>
      </font>
      <fill>
        <patternFill>
          <bgColor theme="7" tint="0.59996337778862885"/>
        </patternFill>
      </fill>
    </dxf>
    <dxf>
      <font>
        <b/>
        <i val="0"/>
        <color theme="7" tint="0.39994506668294322"/>
      </font>
      <fill>
        <patternFill>
          <bgColor theme="7" tint="0.59996337778862885"/>
        </patternFill>
      </fill>
    </dxf>
    <dxf>
      <numFmt numFmtId="0" formatCode="General"/>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BE2B1C"/>
      <color rgb="FFDF3A29"/>
      <color rgb="FFFE4C4C"/>
      <color rgb="FFDD3321"/>
      <color rgb="FFEA2D00"/>
      <color rgb="FFB82B20"/>
      <color rgb="FFEC5E87"/>
      <color rgb="FFEA6E64"/>
      <color rgb="FFFF7171"/>
      <color rgb="FFF757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4013200</xdr:colOff>
      <xdr:row>29</xdr:row>
      <xdr:rowOff>0</xdr:rowOff>
    </xdr:from>
    <xdr:to>
      <xdr:col>1</xdr:col>
      <xdr:colOff>9277827</xdr:colOff>
      <xdr:row>30</xdr:row>
      <xdr:rowOff>150970</xdr:rowOff>
    </xdr:to>
    <xdr:pic>
      <xdr:nvPicPr>
        <xdr:cNvPr id="2" name="Picture 1">
          <a:extLst>
            <a:ext uri="{FF2B5EF4-FFF2-40B4-BE49-F238E27FC236}">
              <a16:creationId xmlns:a16="http://schemas.microsoft.com/office/drawing/2014/main" id="{7F9E5CC6-73A1-45D3-AC1E-AFD27D571B2D}"/>
            </a:ext>
          </a:extLst>
        </xdr:cNvPr>
        <xdr:cNvPicPr>
          <a:picLocks noChangeAspect="1"/>
        </xdr:cNvPicPr>
      </xdr:nvPicPr>
      <xdr:blipFill>
        <a:blip xmlns:r="http://schemas.openxmlformats.org/officeDocument/2006/relationships" r:embed="rId1"/>
        <a:stretch>
          <a:fillRect/>
        </a:stretch>
      </xdr:blipFill>
      <xdr:spPr>
        <a:xfrm>
          <a:off x="4806950" y="4419600"/>
          <a:ext cx="5264627" cy="335120"/>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growShrinkType="overwriteClear" connectionId="1" xr16:uid="{4C9FE6A8-5614-4F80-9D03-5D5647159282}" autoFormatId="16" applyNumberFormats="0" applyBorderFormats="0" applyFontFormats="0" applyPatternFormats="0" applyAlignmentFormats="0" applyWidthHeightFormats="0">
  <queryTableRefresh nextId="35">
    <queryTableFields count="15">
      <queryTableField id="14" name="Rank" tableColumnId="14"/>
      <queryTableField id="28" name="Galaxy #" tableColumnId="27"/>
      <queryTableField id="16" name="Empire Name" tableColumnId="15"/>
      <queryTableField id="17" name="Description" tableColumnId="16"/>
      <queryTableField id="18" name="Origin" tableColumnId="17"/>
      <queryTableField id="19" name="Species Type" tableColumnId="18"/>
      <queryTableField id="20" name="Ethic 1" tableColumnId="19"/>
      <queryTableField id="21" name="Ethic 2" tableColumnId="20"/>
      <queryTableField id="22" name="Ethic 3" tableColumnId="21"/>
      <queryTableField id="23" name="Authority" tableColumnId="22"/>
      <queryTableField id="33" name="Overlord / Specialist" tableColumnId="2"/>
      <queryTableField id="24" name="Pops" tableColumnId="23"/>
      <queryTableField id="25" name="Fleet Power" tableColumnId="24"/>
      <queryTableField id="26" name="Galaxy Points at 2400" tableColumnId="25"/>
      <queryTableField id="27" name="Win Points Awarded" tableColumnId="26"/>
    </queryTableFields>
  </queryTableRefresh>
</queryTable>
</file>

<file path=xl/tables/_rels/table1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004DAFD-037F-4F65-8DF4-6EC59968AF74}" name="Table16" displayName="Table16" ref="A1:B106" totalsRowShown="0">
  <autoFilter ref="A1:B106" xr:uid="{9004DAFD-037F-4F65-8DF4-6EC59968AF74}"/>
  <tableColumns count="2">
    <tableColumn id="1" xr3:uid="{1C4453D6-DB92-4B4C-8697-D92A129A471F}" name="Section"/>
    <tableColumn id="2" xr3:uid="{558A7A86-B0A4-4B24-9696-6B057B25D85F}" name="Information"/>
  </tableColumns>
  <tableStyleInfo name="TableStyleLight14"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14DAA6AE-AFA7-449A-9BA4-072015E6399E}" name="Table10512" displayName="Table10512" ref="A1:Z31" totalsRowShown="0" headerRowDxfId="80" dataDxfId="79">
  <autoFilter ref="A1:Z31" xr:uid="{14DAA6AE-AFA7-449A-9BA4-072015E6399E}"/>
  <tableColumns count="26">
    <tableColumn id="1" xr3:uid="{D3FC9361-8AD7-4DF2-AC26-0C1DC129863E}" name="Empire Name"/>
    <tableColumn id="3" xr3:uid="{0CACBAEB-8449-4464-9D8D-4E8E489DE0F5}" name="Origin"/>
    <tableColumn id="4" xr3:uid="{86587AB9-A441-4A17-9197-6DD8CDAA73FC}" name="Species Type"/>
    <tableColumn id="5" xr3:uid="{58222399-D142-4964-951B-E6AAC78562D0}" name="Ethic 1"/>
    <tableColumn id="6" xr3:uid="{9B605FDE-73F6-4C24-AB61-0424C972C303}" name="Ethic 2"/>
    <tableColumn id="7" xr3:uid="{468172DE-4B53-48C9-A1E3-AB59F8821F7D}" name="Ethic 3"/>
    <tableColumn id="8" xr3:uid="{342B0D6E-542F-4C0F-9496-FC010051ACDF}" name="Rule Type"/>
    <tableColumn id="9" xr3:uid="{728F68F1-1398-413B-9C21-D514BF6AC4F6}" name="Pops" dataDxfId="78"/>
    <tableColumn id="10" xr3:uid="{71C58DE4-A3A5-4382-9754-0196BB99D275}" name="Fleet Power" dataDxfId="77"/>
    <tableColumn id="11" xr3:uid="{E493E490-DE7F-4186-9DC2-CB64CD64AB49}" name="Galaxy Points at 2400" dataDxfId="76"/>
    <tableColumn id="12" xr3:uid="{69D339D0-E4BD-44ED-8852-8C0310A8F9E2}" name="Win Points Awarded" dataDxfId="75"/>
    <tableColumn id="13" xr3:uid="{6DA3C335-5AEB-46B9-B7F9-B50028D3EE47}" name="Civic 1" dataDxfId="74"/>
    <tableColumn id="14" xr3:uid="{1F6185BA-E21D-4B97-8989-C940D0C14F8E}" name="Civic 2" dataDxfId="73"/>
    <tableColumn id="15" xr3:uid="{7FC4E214-5F1B-4F9B-9916-DC1CDA1C7028}" name="Good Trait 1" dataDxfId="72"/>
    <tableColumn id="16" xr3:uid="{EA820FDB-5FBF-4B19-AC1A-1C3BD63DB80C}" name="Good Trait 2" dataDxfId="71"/>
    <tableColumn id="17" xr3:uid="{CE499BBE-55DE-482E-BE31-278A908246F8}" name="Good Trait 3" dataDxfId="70"/>
    <tableColumn id="18" xr3:uid="{12061118-2756-44BD-B8E6-EBA157F6650F}" name="Good Trait 4" dataDxfId="69"/>
    <tableColumn id="19" xr3:uid="{55F696EA-9A6B-48ED-9746-8021794CC216}" name="Good Trait 5" dataDxfId="68"/>
    <tableColumn id="20" xr3:uid="{3E8F7176-CEE9-41E0-AA69-6BA626A236F7}" name="Bad Trait 1" dataDxfId="67"/>
    <tableColumn id="21" xr3:uid="{52A34988-79D2-4A73-AB65-73DFA32532BD}" name="Bad Trait 2" dataDxfId="66"/>
    <tableColumn id="26" xr3:uid="{26CF4DF0-9EA0-4BD0-98F3-84BB8A54F57E}" name="Bad Trait 22" dataDxfId="65"/>
    <tableColumn id="22" xr3:uid="{DDBA9027-DBA6-42D0-9359-6B968CF1CB3E}" name="Planet Preference" dataDxfId="64"/>
    <tableColumn id="23" xr3:uid="{4A75F1D6-A914-4FC1-A7C5-7B53AB983055}" name="Jumps to nearest AI" dataDxfId="63"/>
    <tableColumn id="24" xr3:uid="{B0E64BCE-684C-4470-9A53-FFD2C47D2DD1}" name="Area of Galaxy" dataDxfId="62"/>
    <tableColumn id="25" xr3:uid="{2DB26F35-CA8F-4CA4-8F2B-14483F7E1FF3}" name="Rim location" dataDxfId="61"/>
    <tableColumn id="2" xr3:uid="{74A76B01-E3B7-4DF3-8369-8DE4E05C6443}" name="Overlord / Specialist" dataDxfId="60"/>
  </tableColumns>
  <tableStyleInfo name="TableStyleMedium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D328A90-9DDE-4AB8-939F-D3C11F211E78}" name="Table10513" displayName="Table10513" ref="A1:Z31" totalsRowShown="0" headerRowDxfId="59" dataDxfId="58">
  <autoFilter ref="A1:Z31" xr:uid="{FD328A90-9DDE-4AB8-939F-D3C11F211E78}"/>
  <tableColumns count="26">
    <tableColumn id="1" xr3:uid="{A3482983-3B5C-459E-B239-FC058524C602}" name="Empire Name"/>
    <tableColumn id="3" xr3:uid="{194A25DC-E03D-43C3-84E3-E361B701C06D}" name="Origin"/>
    <tableColumn id="4" xr3:uid="{298FFF92-E9E1-4E75-A13A-1632769AE681}" name="Species Type"/>
    <tableColumn id="5" xr3:uid="{B683953C-0F29-4213-B4B6-77CC2A26FEF7}" name="Ethic 1"/>
    <tableColumn id="6" xr3:uid="{71A53E13-8CB2-41AD-AB3E-B3CC36C0A4A8}" name="Ethic 2"/>
    <tableColumn id="7" xr3:uid="{17E5620A-AB53-43BE-96C3-23C5FB0DBB04}" name="Ethic 3"/>
    <tableColumn id="8" xr3:uid="{FC111099-4394-4B1E-A7E5-A6DD18FE7286}" name="Rule Type"/>
    <tableColumn id="9" xr3:uid="{A6E4C85C-6665-4B80-ABEB-E47492C7C904}" name="Pops" dataDxfId="57"/>
    <tableColumn id="10" xr3:uid="{9F8969A1-A860-4578-A791-35CB7D165A56}" name="Fleet Power" dataDxfId="56"/>
    <tableColumn id="11" xr3:uid="{791A61B7-A871-4E57-AF95-7F9A65401FEC}" name="Galaxy Points at 2400" dataDxfId="55"/>
    <tableColumn id="12" xr3:uid="{9DEC0B9B-3628-4BBE-80E7-5E6F3A2E8F4F}" name="Win Points Awarded" dataDxfId="54"/>
    <tableColumn id="13" xr3:uid="{2B0F42EA-5345-40BA-9637-AA03BEDFBACE}" name="Civic 1" dataDxfId="53"/>
    <tableColumn id="14" xr3:uid="{7D19F217-9ECD-403F-BC73-D50829B40610}" name="Civic 2" dataDxfId="52"/>
    <tableColumn id="15" xr3:uid="{3A64C066-0F90-4520-99E9-28FC08B29226}" name="Good Trait 1" dataDxfId="51"/>
    <tableColumn id="16" xr3:uid="{D67F2EF2-89F3-4DB8-8017-2A020212CC1E}" name="Good Trait 2" dataDxfId="50"/>
    <tableColumn id="17" xr3:uid="{C76E9B4E-7583-408B-A58A-63550DACBB49}" name="Good Trait 3" dataDxfId="49"/>
    <tableColumn id="18" xr3:uid="{BBBB12BB-E419-4BF9-B881-CFEC586E2973}" name="Good Trait 4" dataDxfId="48"/>
    <tableColumn id="19" xr3:uid="{1C48B374-910A-4C86-B1C8-A5F69D660288}" name="Good Trait 5" dataDxfId="47"/>
    <tableColumn id="20" xr3:uid="{F277F072-5823-4704-AA05-A19EECF858F5}" name="Bad Trait 1" dataDxfId="46"/>
    <tableColumn id="21" xr3:uid="{C4D94994-5E84-48FD-8E5E-19788B478ABF}" name="Bad Trait 2" dataDxfId="45"/>
    <tableColumn id="26" xr3:uid="{21BC0A4C-257F-4416-AE2B-F0F5926C433C}" name="Bad Trait 22" dataDxfId="44"/>
    <tableColumn id="22" xr3:uid="{3A16F9EA-3917-4CBD-B9D7-DDD75C7D42A9}" name="Planet Preference" dataDxfId="43"/>
    <tableColumn id="23" xr3:uid="{70954472-D391-423B-A3AF-940348E27F1B}" name="Jumps to nearest AI" dataDxfId="42"/>
    <tableColumn id="24" xr3:uid="{E706EB87-B3A9-4EC9-B673-7BDC715E0A10}" name="Area of Galaxy" dataDxfId="41"/>
    <tableColumn id="25" xr3:uid="{A5B5A012-52A2-4D96-9F48-1753DCA4E9E3}" name="Rim location" dataDxfId="40"/>
    <tableColumn id="2" xr3:uid="{822593EE-4565-4594-B1BC-5E261C70A48E}" name="Overlord / Specialist" dataDxfId="39"/>
  </tableColumns>
  <tableStyleInfo name="TableStyleMedium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8C4E6AB3-8014-490B-9F51-B9BD003C8EE7}" name="Table10514" displayName="Table10514" ref="A1:Z31" totalsRowShown="0" headerRowDxfId="38" dataDxfId="37">
  <autoFilter ref="A1:Z31" xr:uid="{8C4E6AB3-8014-490B-9F51-B9BD003C8EE7}"/>
  <tableColumns count="26">
    <tableColumn id="1" xr3:uid="{7A0D142C-728E-43F4-9F18-10C89255D9AD}" name="Empire Name"/>
    <tableColumn id="3" xr3:uid="{28418DBC-BEBC-4DB3-BFCB-081C8B02ACF7}" name="Origin"/>
    <tableColumn id="4" xr3:uid="{344F4C09-0303-46F5-A890-FFAFE270ADE8}" name="Species Type"/>
    <tableColumn id="5" xr3:uid="{C8F3EF5E-9666-434B-9761-4A547D1DFB95}" name="Ethic 1"/>
    <tableColumn id="6" xr3:uid="{02A41342-BEC9-4BC8-AB51-018B01D8DF7D}" name="Ethic 2"/>
    <tableColumn id="7" xr3:uid="{4CB792DA-EAC4-457E-8086-97F7DB8E0DDE}" name="Ethic 3"/>
    <tableColumn id="8" xr3:uid="{A2B3F931-DEF7-417F-BB34-5827C02C9408}" name="Rule Type"/>
    <tableColumn id="9" xr3:uid="{C5A8E4E1-9C2D-4882-985F-2403B536CD2F}" name="Pops" dataDxfId="36"/>
    <tableColumn id="10" xr3:uid="{CB8875F7-B837-4954-A175-92E125B42605}" name="Fleet Power" dataDxfId="35"/>
    <tableColumn id="11" xr3:uid="{D59C1BC4-72F4-42DF-8015-9EB989066CCB}" name="Galaxy Points at 2400" dataDxfId="34"/>
    <tableColumn id="12" xr3:uid="{025304B3-60D3-40C7-884F-0137A9215E3C}" name="Win Points Awarded" dataDxfId="33"/>
    <tableColumn id="13" xr3:uid="{3CA6BEAA-F7C1-4D4D-8427-360B22EE8B34}" name="Civic 1" dataDxfId="32"/>
    <tableColumn id="14" xr3:uid="{16C5A3C3-973B-4DED-AE19-6B4503D7E533}" name="Civic 2" dataDxfId="31"/>
    <tableColumn id="15" xr3:uid="{25D5E32C-80DD-441D-A12E-40EAC0C3490B}" name="Good Trait 1" dataDxfId="30"/>
    <tableColumn id="16" xr3:uid="{97697522-FAF8-45DF-9991-A113E3825D7D}" name="Good Trait 2" dataDxfId="29"/>
    <tableColumn id="17" xr3:uid="{421C5A49-FC8E-47AE-9A18-0CC0102AF21F}" name="Good Trait 3" dataDxfId="28"/>
    <tableColumn id="18" xr3:uid="{5533A746-CF14-4AA8-884D-7B9E9457A119}" name="Good Trait 4" dataDxfId="27"/>
    <tableColumn id="19" xr3:uid="{2B290C98-6EC4-4351-ADDD-7C31798C08A0}" name="Good Trait 5" dataDxfId="26"/>
    <tableColumn id="20" xr3:uid="{5CEC9ACE-CE3B-4BDD-9745-81B63CD5BA60}" name="Bad Trait 1" dataDxfId="25"/>
    <tableColumn id="21" xr3:uid="{D1A29EE5-DFA9-4620-82E1-287FB74D6BF2}" name="Bad Trait 2" dataDxfId="24"/>
    <tableColumn id="2" xr3:uid="{130A2168-D6A2-4D97-BFF4-29C49567174D}" name="Bad Trait 22" dataDxfId="23"/>
    <tableColumn id="22" xr3:uid="{A0D8F338-EE07-42D0-9891-607C52038F6D}" name="Planet Preference" dataDxfId="22"/>
    <tableColumn id="23" xr3:uid="{72BC4944-9553-4400-91C4-5C13DAFFDEE8}" name="Jumps to nearest AI" dataDxfId="21"/>
    <tableColumn id="24" xr3:uid="{A7432FE6-648B-4A8B-9488-F545E99D9D2E}" name="Area of Galaxy" dataDxfId="20"/>
    <tableColumn id="25" xr3:uid="{A06AACA9-0AFE-46B8-9E52-3ADDBD86C6E7}" name="Rim location" dataDxfId="19"/>
    <tableColumn id="26" xr3:uid="{7FC828DC-602C-4819-AFEE-3B9C2B0D222D}" name="Overlord / Specialist" dataDxfId="18"/>
  </tableColumns>
  <tableStyleInfo name="TableStyleMedium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7FBA8C0-AF99-46E7-B6DC-324E4AB916DE}" name="Table2" displayName="Table2" ref="Q3:Q13" totalsRowShown="0">
  <autoFilter ref="Q3:Q13" xr:uid="{F7FBA8C0-AF99-46E7-B6DC-324E4AB916DE}"/>
  <tableColumns count="1">
    <tableColumn id="1" xr3:uid="{28D9AAAC-8392-44B9-B9C4-A528B667CD8A}" name="DON’T CHANGE THIS TABLE UNLESS YOUR ADDING MORE OR LESS GALAXIES"/>
  </tableColumns>
  <tableStyleInfo name="TableStyleLight8"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5D49D2-BD8D-4128-8BD2-01CDD0D515D7}" name="Standings" displayName="Standings" ref="A1:O310" tableType="queryTable" totalsRowShown="0">
  <autoFilter ref="A1:O310" xr:uid="{4E5D49D2-BD8D-4128-8BD2-01CDD0D515D7}"/>
  <tableColumns count="15">
    <tableColumn id="14" xr3:uid="{8CB6C711-0D18-4C58-BF5A-02EEAAD0E7F2}" uniqueName="14" name="Rank" queryTableFieldId="14"/>
    <tableColumn id="27" xr3:uid="{00A02AD3-94DE-4168-9416-5D97E3A4D127}" uniqueName="27" name="Galaxy #" queryTableFieldId="28" dataDxfId="17"/>
    <tableColumn id="15" xr3:uid="{26A32726-C37D-47D3-A19D-67FBAB43F099}" uniqueName="15" name="Empire Name" queryTableFieldId="16"/>
    <tableColumn id="16" xr3:uid="{929DD204-5369-49C6-96CF-61BF11656AE1}" uniqueName="16" name="Description" queryTableFieldId="17"/>
    <tableColumn id="17" xr3:uid="{3AB9ABB1-F057-419C-AA80-4CAE0B4267E5}" uniqueName="17" name="Origin" queryTableFieldId="18"/>
    <tableColumn id="18" xr3:uid="{58E175FF-FDEF-428E-B4D3-C0DB0B07C1F7}" uniqueName="18" name="Species Type" queryTableFieldId="19"/>
    <tableColumn id="19" xr3:uid="{D22A2D62-862B-430B-B8D3-40584B05CF80}" uniqueName="19" name="Ethic 1" queryTableFieldId="20"/>
    <tableColumn id="20" xr3:uid="{9027915F-AF7E-4F48-BDFC-2B83B51BEE27}" uniqueName="20" name="Ethic 2" queryTableFieldId="21"/>
    <tableColumn id="21" xr3:uid="{BDECA2CD-D0BE-4E93-AAAE-3B459A7837B6}" uniqueName="21" name="Ethic 3" queryTableFieldId="22"/>
    <tableColumn id="22" xr3:uid="{F969304D-70C6-4EC3-8956-BCC0A54889B9}" uniqueName="22" name="Authority" queryTableFieldId="23"/>
    <tableColumn id="2" xr3:uid="{CA56F2A1-C954-4DF7-A300-DBE7E7CB2BDA}" uniqueName="2" name="Overlord / Specialist" queryTableFieldId="33"/>
    <tableColumn id="23" xr3:uid="{6199B804-4905-4AEB-8CAF-0386DB05968D}" uniqueName="23" name="Pops" queryTableFieldId="24"/>
    <tableColumn id="24" xr3:uid="{9C398CF9-9A5E-4EA8-B467-7F7307B03F70}" uniqueName="24" name="Fleet Power" queryTableFieldId="25"/>
    <tableColumn id="25" xr3:uid="{23F24A79-8D0F-4318-BB10-8D736E616CE4}" uniqueName="25" name="Galaxy Points at 2400" queryTableFieldId="26"/>
    <tableColumn id="26" xr3:uid="{B15AC845-ABB7-41E3-B3BD-DCB7A4F1C8AF}" uniqueName="26" name="Win Points Awarded" queryTableFieldId="27"/>
  </tableColumns>
  <tableStyleInfo name="TableStyleDark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3ACF9ABF-802D-46E4-9D30-BF257A53D3D4}" name="Table14" displayName="Table14" ref="A1:N1048576" totalsRowShown="0">
  <autoFilter ref="A1:N1048576" xr:uid="{3ACF9ABF-802D-46E4-9D30-BF257A53D3D4}"/>
  <tableColumns count="14">
    <tableColumn id="1" xr3:uid="{011EB3D5-6A99-4C47-90BA-12AB46876688}" name="Ethics"/>
    <tableColumn id="2" xr3:uid="{49CEE947-BFF6-4649-BD58-3862277F0C83}" name="FILENAME"/>
    <tableColumn id="3" xr3:uid="{AF0B5044-7319-4D5B-9C4E-D8F88460FA4F}" name="Authority"/>
    <tableColumn id="4" xr3:uid="{8B9D6207-53F9-4CCE-BC16-9FD297BA7BE7}" name="Origin"/>
    <tableColumn id="5" xr3:uid="{6C1C5136-4FFF-40FD-8058-1768207611EC}" name="Column2"/>
    <tableColumn id="6" xr3:uid="{EF34BFD7-F278-4F7C-AFD1-3BC333D12380}" name="Species"/>
    <tableColumn id="7" xr3:uid="{F89EF767-DBA3-42AA-8D15-589918FCBCCA}" name="Starting Direction"/>
    <tableColumn id="8" xr3:uid="{3FCA50AD-F05C-448D-8FFE-1320ADE66881}" name="Jumps to nearest AI"/>
    <tableColumn id="9" xr3:uid="{406555C2-E47B-4F8D-940E-9087C16C31E5}" name="Rim Location"/>
    <tableColumn id="10" xr3:uid="{F7D3F6C3-CC98-4211-AEDC-7B201D6866B2}" name="Civics"/>
    <tableColumn id="11" xr3:uid="{D23FE52F-47F2-4C3B-B090-F0B1DAD720F1}" name="Good Traits"/>
    <tableColumn id="12" xr3:uid="{A641EF80-8EFC-4520-B91A-6D59BBAEDE58}" name="Bad Traits"/>
    <tableColumn id="13" xr3:uid="{19689753-CCD9-4C90-A569-CD02455D9A49}" name="Planet Preference"/>
    <tableColumn id="14" xr3:uid="{19A7E1E4-9AB6-4260-AFE7-77BE7440276F}" name="Overlord/Subject"/>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6B81AA5-AC86-404F-9677-29BD5638C51B}" name="Table105" displayName="Table105" ref="A1:Z31" totalsRowShown="0" headerRowDxfId="246" dataDxfId="245">
  <autoFilter ref="A1:Z31" xr:uid="{66B81AA5-AC86-404F-9677-29BD5638C51B}"/>
  <tableColumns count="26">
    <tableColumn id="1" xr3:uid="{B8040135-00DD-49EF-A57F-74FF08883E67}" name="Empire Name"/>
    <tableColumn id="3" xr3:uid="{B15AE106-5648-4EF6-8DD6-8C012CE1A19F}" name="Origin"/>
    <tableColumn id="4" xr3:uid="{5E481B8F-5797-47C2-AAC7-73E0EAB3316C}" name="Species Type"/>
    <tableColumn id="5" xr3:uid="{B158138A-E8A6-4D0F-8F7D-FAC5465A9F31}" name="Ethic 1"/>
    <tableColumn id="6" xr3:uid="{BDC3400D-FF72-43BE-B9CA-445F9E797274}" name="Ethic 2"/>
    <tableColumn id="7" xr3:uid="{7C6A2909-7912-4327-8B25-5AF0EA7D1053}" name="Ethic 3"/>
    <tableColumn id="8" xr3:uid="{856D6579-1927-4699-A468-1FC7E3FC815F}" name="Rule Type"/>
    <tableColumn id="9" xr3:uid="{7FE6B82B-FDBA-43C2-885A-765E210272BB}" name="Pops" dataDxfId="244" totalsRowDxfId="243"/>
    <tableColumn id="10" xr3:uid="{6C08E859-0852-4E10-B93F-3EF03E0F3EEC}" name="Fleet Power" dataDxfId="242" totalsRowDxfId="241"/>
    <tableColumn id="11" xr3:uid="{98D574DA-CCCC-4CA9-AEC3-523238C722BF}" name="Galaxy Points at 2400" dataDxfId="240" totalsRowDxfId="239"/>
    <tableColumn id="12" xr3:uid="{A99F84E6-CE6E-4DF2-80FA-92B3AE12E56F}" name="Win Points Awarded" dataDxfId="238" totalsRowDxfId="237"/>
    <tableColumn id="13" xr3:uid="{E42A353F-D9BE-45F6-8C78-313CF9800FB8}" name="Civic 1" dataDxfId="236" totalsRowDxfId="235"/>
    <tableColumn id="14" xr3:uid="{A7292A71-905F-44D4-A5A9-EC41B13095B2}" name="Civic 2" dataDxfId="234" totalsRowDxfId="233"/>
    <tableColumn id="15" xr3:uid="{2A1745C8-F380-40B4-BE74-3C9E891FC743}" name="Good Trait 1" dataDxfId="232" totalsRowDxfId="231"/>
    <tableColumn id="16" xr3:uid="{0C1C4879-DCF2-40AA-AE8E-3D6B249F8CDD}" name="Good Trait 2" dataDxfId="230" totalsRowDxfId="229"/>
    <tableColumn id="17" xr3:uid="{4046553C-C841-4963-96B8-61DAC0FB92BB}" name="Good Trait 3" dataDxfId="228" totalsRowDxfId="227"/>
    <tableColumn id="18" xr3:uid="{E46275F3-C0C8-4CD9-8216-6B3B6768D9CE}" name="Good Trait 4" dataDxfId="226" totalsRowDxfId="225"/>
    <tableColumn id="19" xr3:uid="{48959EA8-3DF5-44AE-94EC-ECA36021C97D}" name="Good Trait 5" dataDxfId="224" totalsRowDxfId="223"/>
    <tableColumn id="20" xr3:uid="{409247E2-AB05-403A-8A4E-FD0B81417E8D}" name="Bad Trait 1" dataDxfId="222" totalsRowDxfId="221"/>
    <tableColumn id="21" xr3:uid="{D2439503-1E9B-4E3A-B819-9947A98E9928}" name="Bad Trait 2" dataDxfId="220" totalsRowDxfId="219"/>
    <tableColumn id="26" xr3:uid="{DD41BC5E-0BAD-44D1-9E6F-572862C1E2A2}" name="Bad Trait 3" dataDxfId="218" totalsRowDxfId="217"/>
    <tableColumn id="22" xr3:uid="{2D83D2CB-9E47-4291-8E8F-0DD22F8662B2}" name="Planet Preference" dataDxfId="216" totalsRowDxfId="215"/>
    <tableColumn id="23" xr3:uid="{5346CDE3-E19D-4914-9CEC-1DEF086AC936}" name="Jumps to nearest AI" dataDxfId="214" totalsRowDxfId="213"/>
    <tableColumn id="24" xr3:uid="{52C2FB51-5B4B-4B9A-86D6-5A0EF6D19447}" name="Area of Galaxy" dataDxfId="212" totalsRowDxfId="211"/>
    <tableColumn id="25" xr3:uid="{417435FF-8E53-4B1A-B58E-FCFEE336A785}" name="Rim location" dataDxfId="210" totalsRowDxfId="209"/>
    <tableColumn id="2" xr3:uid="{813101FF-14D8-42B1-ADB3-A0B23874B62F}" name="Overlord / Specialist" dataDxfId="208" totalsRowDxfId="207"/>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856DCCF-505F-45E1-B8EA-60D95CC4B664}" name="Table1056" displayName="Table1056" ref="A1:Z31" totalsRowShown="0" headerRowDxfId="206" dataDxfId="205">
  <autoFilter ref="A1:Z31" xr:uid="{9856DCCF-505F-45E1-B8EA-60D95CC4B664}"/>
  <tableColumns count="26">
    <tableColumn id="1" xr3:uid="{BD04B816-49E5-47F9-90E5-37929AEEA369}" name="Empire Name"/>
    <tableColumn id="3" xr3:uid="{0D96BDAA-6BA4-4D02-812E-ECE01E81C55A}" name="Origin"/>
    <tableColumn id="4" xr3:uid="{BFFF99AA-992A-4F29-91D4-A09DE855CB3A}" name="Species Type"/>
    <tableColumn id="5" xr3:uid="{39EAB63F-9A67-460E-9CC8-0A7E2F9F8AAF}" name="Ethic 1"/>
    <tableColumn id="6" xr3:uid="{12CF91DF-2398-4150-9138-2B034E89520F}" name="Ethic 2"/>
    <tableColumn id="7" xr3:uid="{A899B68A-28E3-4AD2-B778-1AB5B077D6FA}" name="Ethic 3"/>
    <tableColumn id="8" xr3:uid="{7CB67A1B-830A-459F-9866-BB2796B0F4E4}" name="Rule Type"/>
    <tableColumn id="9" xr3:uid="{5D54D729-1FD8-4934-839B-05B1EB8D4F21}" name="Pops" dataDxfId="204"/>
    <tableColumn id="10" xr3:uid="{69057DB7-424C-44A5-A975-064F95F07F80}" name="Fleet Power" dataDxfId="203"/>
    <tableColumn id="11" xr3:uid="{B45754C4-C8EC-40C3-A372-6E30C09524FD}" name="Galaxy Points at 2400" dataDxfId="202"/>
    <tableColumn id="12" xr3:uid="{905A82CE-647F-4C59-8F8B-4E5410073E16}" name="Win Points Awarded" dataDxfId="201"/>
    <tableColumn id="13" xr3:uid="{5E4FA82E-28BC-4503-83A8-AE02559EA585}" name="Civic 1" dataDxfId="200"/>
    <tableColumn id="14" xr3:uid="{D3921617-6173-4210-B93A-3A53FC9BEE2B}" name="Civic 2" dataDxfId="199"/>
    <tableColumn id="15" xr3:uid="{2011AD07-DBDC-4FF2-AD6F-0C53907E630A}" name="Good Trait 1" dataDxfId="198"/>
    <tableColumn id="16" xr3:uid="{02AB90C9-A6D5-47B1-B69A-3C2B3E8377FD}" name="Good Trait 2" dataDxfId="197"/>
    <tableColumn id="17" xr3:uid="{9DF6E35E-7313-40F7-B7C7-70BBAD13F240}" name="Good Trait 3" dataDxfId="196"/>
    <tableColumn id="18" xr3:uid="{323819B5-C7DE-4040-A07B-451540A2D244}" name="Good Trait 4" dataDxfId="195"/>
    <tableColumn id="19" xr3:uid="{5DD98B47-395A-4860-89AF-B043991FAD01}" name="Good Trait 5" dataDxfId="194"/>
    <tableColumn id="20" xr3:uid="{D9F4E4A0-9547-46A7-BF66-52365BDFB98A}" name="Bad Trait 1" dataDxfId="193"/>
    <tableColumn id="21" xr3:uid="{C72CBD6C-5598-4191-92CD-C720716BFDF8}" name="Bad Trait 2" dataDxfId="192"/>
    <tableColumn id="26" xr3:uid="{13372086-1455-4472-B60D-F2EFA38A3A41}" name="Bad Trait 3" dataDxfId="191"/>
    <tableColumn id="22" xr3:uid="{1F976685-1DAA-4E9D-A889-9995928EC42F}" name="Planet Preference" dataDxfId="190"/>
    <tableColumn id="23" xr3:uid="{A9FEDABA-8018-4322-84D0-9958C366366A}" name="Jumps to nearest AI" dataDxfId="189"/>
    <tableColumn id="24" xr3:uid="{763AAE83-39A1-47A3-BAAA-DA393679B0DA}" name="Area of Galaxy" dataDxfId="188"/>
    <tableColumn id="25" xr3:uid="{D005B261-9ECD-4CF4-AA8B-F05ACD32153B}" name="Rim location" dataDxfId="187"/>
    <tableColumn id="2" xr3:uid="{F65F98A4-B60A-4A41-89BD-2DB3BE318289}" name="Overlord / Specialist" dataDxfId="186"/>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0D2A75E-7652-4705-9255-BFCA546BA95B}" name="Table1057" displayName="Table1057" ref="A1:Z31" totalsRowShown="0" headerRowDxfId="185" dataDxfId="184">
  <autoFilter ref="A1:Z31" xr:uid="{C0D2A75E-7652-4705-9255-BFCA546BA95B}"/>
  <tableColumns count="26">
    <tableColumn id="1" xr3:uid="{2D246934-636B-46D2-A9BD-BF885E98806A}" name="Empire Name"/>
    <tableColumn id="3" xr3:uid="{C32A9E28-005A-436C-B945-5E3805321C9C}" name="Origin"/>
    <tableColumn id="4" xr3:uid="{5A092345-C06C-4940-A1EB-BAC8F68972A2}" name="Species Type"/>
    <tableColumn id="5" xr3:uid="{7476CDD9-1086-4B0F-BD85-D09B864C808F}" name="Ethic 1"/>
    <tableColumn id="6" xr3:uid="{52BE2684-9846-47B4-A273-CE2C8CD23966}" name="Ethic 2"/>
    <tableColumn id="7" xr3:uid="{83069FF2-7351-413D-B63B-1AE0BC8DCD6F}" name="Ethic 3"/>
    <tableColumn id="8" xr3:uid="{61FF7457-A73B-490E-8277-C4762ACD1E91}" name="Rule Type"/>
    <tableColumn id="9" xr3:uid="{65268594-C0A6-4F11-8843-265B39A8BBB5}" name="Pops" dataDxfId="183"/>
    <tableColumn id="10" xr3:uid="{396F861D-5E10-48A8-9707-E34C84A5B419}" name="Fleet Power" dataDxfId="182"/>
    <tableColumn id="11" xr3:uid="{D345D80A-352B-42D2-B108-8852C9E9B913}" name="Galaxy Points at 2400" dataDxfId="181"/>
    <tableColumn id="12" xr3:uid="{2DA57CD2-A06D-42A6-AEBF-B76E39DF2EF8}" name="Win Points Awarded" dataDxfId="180"/>
    <tableColumn id="13" xr3:uid="{9D5F6892-02AF-4583-8352-C2D119C200A7}" name="Civic 1" dataDxfId="179"/>
    <tableColumn id="14" xr3:uid="{5FD2D503-EED3-4917-9846-A62A2845A930}" name="Civic 2" dataDxfId="178"/>
    <tableColumn id="15" xr3:uid="{E43BDE5B-4503-485D-A292-B71F9A40547E}" name="Good Trait 1" dataDxfId="177"/>
    <tableColumn id="16" xr3:uid="{8D22500B-B78C-47C5-812E-4F4239A85B9A}" name="Good Trait 2" dataDxfId="176"/>
    <tableColumn id="17" xr3:uid="{F8A90BA9-0C0E-45A2-9B20-9C2F7E5BEC0B}" name="Good Trait 3" dataDxfId="175"/>
    <tableColumn id="18" xr3:uid="{4B0A23DB-1707-4FF2-BEA7-2E198DD5E50B}" name="Good Trait 4" dataDxfId="174"/>
    <tableColumn id="19" xr3:uid="{09B79C45-45BB-452B-80BD-DBB8DBB267CC}" name="Good Trait 5" dataDxfId="173"/>
    <tableColumn id="20" xr3:uid="{F1375EE7-22C7-4FA6-A697-67F312F5AA2E}" name="Bad Trait 1" dataDxfId="172"/>
    <tableColumn id="21" xr3:uid="{6DC448D4-5662-4EF5-9E99-67D5752BD944}" name="Bad Trait 2" dataDxfId="171"/>
    <tableColumn id="26" xr3:uid="{ECCDBCB9-B6B5-4555-BF26-18A888B045AE}" name="Bad Trait 3" dataDxfId="170"/>
    <tableColumn id="22" xr3:uid="{F0F44AAC-BA93-4FE9-98D4-6C565FF46C60}" name="Planet Preference" dataDxfId="169"/>
    <tableColumn id="23" xr3:uid="{352B92D1-2DA8-4CB0-B141-DE562BACDC48}" name="Jumps to nearest AI" dataDxfId="168"/>
    <tableColumn id="24" xr3:uid="{DC54E275-6051-4590-9330-46DD42A8CC44}" name="Area of Galaxy" dataDxfId="167"/>
    <tableColumn id="25" xr3:uid="{68661F99-D556-4E1C-9B9F-BB01670A968A}" name="Rim location" dataDxfId="166"/>
    <tableColumn id="2" xr3:uid="{9B71C4D4-A030-4D05-8465-E37778E42A71}" name="Overlord / Specialist" dataDxfId="165"/>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3CFBD90-EF96-4D15-844B-681A7411875B}" name="Table1058" displayName="Table1058" ref="A1:Z31" totalsRowShown="0" headerRowDxfId="164" dataDxfId="163">
  <autoFilter ref="A1:Z31" xr:uid="{83CFBD90-EF96-4D15-844B-681A7411875B}"/>
  <tableColumns count="26">
    <tableColumn id="1" xr3:uid="{6229A182-4B06-435B-BDD7-9BDD05BD8CCC}" name="Empire Name"/>
    <tableColumn id="3" xr3:uid="{D73CA659-90E5-425F-9AAC-E3543D1DDCD7}" name="Origin"/>
    <tableColumn id="4" xr3:uid="{745D8C4D-1115-487C-A78C-6023E81044E3}" name="Species Type"/>
    <tableColumn id="5" xr3:uid="{93251570-F026-4AA5-B76A-28825F180BBF}" name="Ethic 1"/>
    <tableColumn id="6" xr3:uid="{1D393F62-787F-42DE-810B-F9D89E7A905F}" name="Ethic 2"/>
    <tableColumn id="7" xr3:uid="{565ADD15-D1D2-4D7A-BD56-41C1BD745911}" name="Ethic 3"/>
    <tableColumn id="8" xr3:uid="{E415A2DC-2253-459C-AC66-4C9810B566C7}" name="Rule Type"/>
    <tableColumn id="9" xr3:uid="{6D69325D-08BE-4BEB-B8F8-7DCFC5C0A11E}" name="Pops" dataDxfId="162"/>
    <tableColumn id="10" xr3:uid="{A2A722B1-E1A3-494C-9B7C-32F36D2E83C7}" name="Fleet Power" dataDxfId="161"/>
    <tableColumn id="11" xr3:uid="{FC1F6E1C-C36A-4F93-BBFF-FE8B77CFDBFC}" name="Galaxy Points at 2400" dataDxfId="160"/>
    <tableColumn id="12" xr3:uid="{8B52E842-C58D-4DB8-86D8-AF29B35F2E43}" name="Win Points Awarded" dataDxfId="159"/>
    <tableColumn id="13" xr3:uid="{ADEFA8F8-4B58-4B54-BED5-FB31441881A9}" name="Civic 1" dataDxfId="158"/>
    <tableColumn id="14" xr3:uid="{179D4066-35F0-4333-972F-D1688F305D27}" name="Civic 2" dataDxfId="157"/>
    <tableColumn id="15" xr3:uid="{97F21253-BE97-4C90-8C27-47576B7E2154}" name="Good Trait 1" dataDxfId="156"/>
    <tableColumn id="16" xr3:uid="{2C716DFC-36B0-4440-A5AE-18277004EC61}" name="Good Trait 2" dataDxfId="155"/>
    <tableColumn id="17" xr3:uid="{9A9BC455-0FDA-40DE-A91C-B38C64339522}" name="Good Trait 3" dataDxfId="154"/>
    <tableColumn id="18" xr3:uid="{8AE57E4A-7D6E-42D1-8885-0032494938E0}" name="Good Trait 4" dataDxfId="153"/>
    <tableColumn id="19" xr3:uid="{CC911034-CA9C-48FD-BCFD-CCDEF44510D0}" name="Good Trait 5" dataDxfId="152"/>
    <tableColumn id="20" xr3:uid="{A8CA0CBE-6ABA-43BC-B8A1-31776FAD7E79}" name="Bad Trait 1" dataDxfId="151"/>
    <tableColumn id="21" xr3:uid="{F16D3096-72B8-463A-876A-8093E44D2C4A}" name="Bad Trait 2" dataDxfId="150"/>
    <tableColumn id="26" xr3:uid="{38D149F6-04F4-48EB-932D-A802EA38BCF2}" name="Bad Trait 22" dataDxfId="149"/>
    <tableColumn id="22" xr3:uid="{DCD34E60-2482-454F-AA2F-6FB6E86E16C1}" name="Planet Preference" dataDxfId="148"/>
    <tableColumn id="23" xr3:uid="{1BADB9A4-0976-4B23-9E63-4732A30B3965}" name="Jumps to nearest AI" dataDxfId="147"/>
    <tableColumn id="24" xr3:uid="{FB088DA5-6EF2-4095-8989-67284C798960}" name="Area of Galaxy" dataDxfId="146"/>
    <tableColumn id="25" xr3:uid="{80AC23FD-150F-418A-9D7C-D7C9D37959A4}" name="Rim location" dataDxfId="145"/>
    <tableColumn id="2" xr3:uid="{8A3355DD-6B64-4F55-870A-C3DF55298735}" name="Overlord / Specialist" dataDxfId="144"/>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6E8B00D-872D-4243-AE09-4481CC5FAA38}" name="Table1059" displayName="Table1059" ref="A1:Z31" totalsRowShown="0" headerRowDxfId="143" dataDxfId="142">
  <autoFilter ref="A1:Z31" xr:uid="{36E8B00D-872D-4243-AE09-4481CC5FAA38}"/>
  <tableColumns count="26">
    <tableColumn id="1" xr3:uid="{3D634A1E-FDAD-4737-B392-770DAF4916CC}" name="Empire Name"/>
    <tableColumn id="3" xr3:uid="{6ECF354D-F8E6-4C7B-9AAD-A79FC83F7545}" name="Origin"/>
    <tableColumn id="4" xr3:uid="{5AAF369E-2FB1-49C9-BC53-F53912BD39D0}" name="Species Type"/>
    <tableColumn id="5" xr3:uid="{D341D749-AE6C-4646-BBBB-87E410C4311C}" name="Ethic 1"/>
    <tableColumn id="6" xr3:uid="{75E13016-F2C1-41E9-85FA-4A3686BACAFC}" name="Ethic 2"/>
    <tableColumn id="7" xr3:uid="{D0FE1607-2C37-47C6-8359-0D918015E54A}" name="Ethic 3"/>
    <tableColumn id="8" xr3:uid="{136D542C-1080-42A7-A5AE-B57261CD4827}" name="Rule Type"/>
    <tableColumn id="9" xr3:uid="{70757F1C-4311-4E66-8464-A0504194D40D}" name="Pops" dataDxfId="141"/>
    <tableColumn id="10" xr3:uid="{4C1340A5-53F5-47F9-9C1A-B49F901F5DC2}" name="Fleet Power" dataDxfId="140"/>
    <tableColumn id="11" xr3:uid="{A9B67535-A595-436F-9CC5-94B8CDFF4B59}" name="Galaxy Points at 2400" dataDxfId="139"/>
    <tableColumn id="12" xr3:uid="{637DA3B0-E999-4998-8636-0E208061E317}" name="Win Points Awarded" dataDxfId="138"/>
    <tableColumn id="13" xr3:uid="{ADDBEA89-59AC-4B01-AA46-0B49F4231CAB}" name="Civic 1" dataDxfId="137"/>
    <tableColumn id="14" xr3:uid="{C09EFE7C-4973-4640-8C99-A051674A7C5C}" name="Civic 2" dataDxfId="136"/>
    <tableColumn id="15" xr3:uid="{C2FF450C-0857-4A98-BBB9-F28D4CADBEB4}" name="Good Trait 1" dataDxfId="135"/>
    <tableColumn id="16" xr3:uid="{0BF2569C-8EA2-4CA2-A100-B96B838AB433}" name="Good Trait 2" dataDxfId="134"/>
    <tableColumn id="17" xr3:uid="{5C80A278-1D29-41E0-B08F-583E00BB834D}" name="Good Trait 3" dataDxfId="133"/>
    <tableColumn id="18" xr3:uid="{FE38DE6C-45EC-497B-B73E-19D7F2DDCFF2}" name="Good Trait 4" dataDxfId="132"/>
    <tableColumn id="19" xr3:uid="{91657FAE-F8FD-4581-8D17-581D1AF08FE3}" name="Good Trait 5" dataDxfId="131"/>
    <tableColumn id="20" xr3:uid="{2DA43A8A-E772-4816-AF34-FF778822C629}" name="Bad Trait 1" dataDxfId="130"/>
    <tableColumn id="21" xr3:uid="{42411263-C244-4E21-A1E4-C0CC50B8E85F}" name="Bad Trait 2" dataDxfId="129"/>
    <tableColumn id="26" xr3:uid="{AFE9A35D-4185-4C07-AA04-6A056A498CBB}" name="Bad Trait 22" dataDxfId="128"/>
    <tableColumn id="22" xr3:uid="{E36EEB26-DB36-430B-82B7-0B0458B7774B}" name="Planet Preference" dataDxfId="127"/>
    <tableColumn id="23" xr3:uid="{EA28046D-1DD6-46FD-B6B4-1E83F08BEFC3}" name="Jumps to nearest AI" dataDxfId="126"/>
    <tableColumn id="24" xr3:uid="{9FA23959-1015-4F2D-8729-3D6A5E4EFF0C}" name="Area of Galaxy" dataDxfId="125"/>
    <tableColumn id="25" xr3:uid="{20F94113-0BEE-42DD-844E-0785B02055E4}" name="Rim location" dataDxfId="124"/>
    <tableColumn id="2" xr3:uid="{603A10D2-1CF9-49F0-89A2-2377D69AF334}" name="Overlord / Specialist" dataDxfId="123"/>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CA1D78C-A6DC-484F-8F38-EFD1BB6307F1}" name="Table10510" displayName="Table10510" ref="A1:Z31" totalsRowShown="0" headerRowDxfId="122" dataDxfId="121">
  <autoFilter ref="A1:Z31" xr:uid="{6CA1D78C-A6DC-484F-8F38-EFD1BB6307F1}"/>
  <sortState xmlns:xlrd2="http://schemas.microsoft.com/office/spreadsheetml/2017/richdata2" ref="A2:Y11">
    <sortCondition descending="1" ref="K1:K11"/>
  </sortState>
  <tableColumns count="26">
    <tableColumn id="1" xr3:uid="{66ABC3F3-8C17-4E3D-B793-11385127EC40}" name="Empire Name"/>
    <tableColumn id="3" xr3:uid="{F5C05AC3-1558-4042-80B2-D586D4638A66}" name="Origin"/>
    <tableColumn id="4" xr3:uid="{05213B0F-2115-4B49-B515-A0C0A3A388D2}" name="Species Type"/>
    <tableColumn id="5" xr3:uid="{1C9E0196-08C7-4F2C-805A-7B701BDE5D1E}" name="Ethic 1"/>
    <tableColumn id="6" xr3:uid="{37D87724-D96B-4799-B33D-DC3A913D8251}" name="Ethic 2"/>
    <tableColumn id="7" xr3:uid="{7AFBDF45-30BF-46B0-87C1-DA70F71F7DAC}" name="Ethic 3"/>
    <tableColumn id="8" xr3:uid="{B17BD864-C0BB-4435-8070-6D4D6754E519}" name="Rule Type"/>
    <tableColumn id="9" xr3:uid="{C87D189F-2BE8-41F5-A5AC-E2B25FC0F692}" name="Pops" dataDxfId="120"/>
    <tableColumn id="10" xr3:uid="{24193437-EF15-43F5-ADB7-A2BE2DC67F1A}" name="Fleet Power" dataDxfId="119"/>
    <tableColumn id="11" xr3:uid="{3155C9AC-2B71-4442-8F24-B0727AFD6C43}" name="Galaxy Points at 2400" dataDxfId="118"/>
    <tableColumn id="12" xr3:uid="{1D4E5099-24EE-4ACE-8DC1-FE9B5B71B2C1}" name="Win Points Awarded" dataDxfId="117"/>
    <tableColumn id="13" xr3:uid="{CC565EC0-D3CE-4786-9B1B-BC872AB54D09}" name="Civic 1" dataDxfId="116"/>
    <tableColumn id="14" xr3:uid="{BB8FB928-DDAE-4CE8-A663-8F3C23DE400E}" name="Civic 2" dataDxfId="115"/>
    <tableColumn id="15" xr3:uid="{B68B3CB4-175D-4805-B9FA-A2BB5866888A}" name="Good Trait 1" dataDxfId="114"/>
    <tableColumn id="16" xr3:uid="{B41DD94F-F769-46D7-84D5-EDAA878FD930}" name="Good Trait 2" dataDxfId="113"/>
    <tableColumn id="17" xr3:uid="{D8C5A0B9-2072-4084-A74F-87F737A33976}" name="Good Trait 3" dataDxfId="112"/>
    <tableColumn id="18" xr3:uid="{EF0A00ED-1341-4133-9FE8-3C0EFC4DF10D}" name="Good Trait 4" dataDxfId="111"/>
    <tableColumn id="19" xr3:uid="{9FB00C80-5C48-478A-BE12-47B0F13D978F}" name="Good Trait 5" dataDxfId="110"/>
    <tableColumn id="20" xr3:uid="{EDC23876-8856-4901-9FD3-76024CD3AC5D}" name="Bad Trait 1" dataDxfId="109"/>
    <tableColumn id="21" xr3:uid="{35555361-8CEE-4A77-95FA-64D05F917923}" name="Bad Trait 2" dataDxfId="108"/>
    <tableColumn id="2" xr3:uid="{AD03A78E-6856-47CC-A36C-4B81BEBE3511}" name="Bad Trait 3" dataDxfId="107"/>
    <tableColumn id="22" xr3:uid="{D226FA53-041A-4B3A-B6B4-BE1828FC0F7C}" name="Planet Preference" dataDxfId="106"/>
    <tableColumn id="23" xr3:uid="{C94B9271-B3C2-45A9-9485-C4B10CCA1224}" name="Jumps to nearest AI" dataDxfId="105"/>
    <tableColumn id="24" xr3:uid="{0957EEF5-2512-4BA8-ABCC-977086F283DA}" name="Area of Galaxy" dataDxfId="104"/>
    <tableColumn id="25" xr3:uid="{99EE9074-DEC6-4E93-ABBE-A7630E4C897C}" name="Rim location" dataDxfId="103"/>
    <tableColumn id="26" xr3:uid="{808A12AE-5F22-40DB-9BAE-5EA5F98730BA}" name="Overlord / Specialist" dataDxfId="102"/>
  </tableColumns>
  <tableStyleInfo name="TableStyleMedium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739F8603-D652-4E20-A774-91EEBF58C5F2}" name="Table10511" displayName="Table10511" ref="A1:Z31" totalsRowShown="0" headerRowDxfId="101" dataDxfId="100">
  <autoFilter ref="A1:Z31" xr:uid="{739F8603-D652-4E20-A774-91EEBF58C5F2}"/>
  <sortState xmlns:xlrd2="http://schemas.microsoft.com/office/spreadsheetml/2017/richdata2" ref="A2:Y11">
    <sortCondition descending="1" ref="K1:K11"/>
  </sortState>
  <tableColumns count="26">
    <tableColumn id="1" xr3:uid="{DFD7CAB5-EEBF-4161-8A99-3FE43AD50486}" name="Empire Name"/>
    <tableColumn id="3" xr3:uid="{CDC30B79-09AE-4BBF-BBB2-539E9702440C}" name="Origin"/>
    <tableColumn id="4" xr3:uid="{CE9A364C-CE30-446B-AD96-E440B319D710}" name="Species Type"/>
    <tableColumn id="5" xr3:uid="{7676D492-EF92-4639-BF3C-A086E2B0EE97}" name="Ethic 1"/>
    <tableColumn id="6" xr3:uid="{6D260862-F2FF-4756-86F3-D2D7AA23D548}" name="Ethic 2"/>
    <tableColumn id="7" xr3:uid="{D716EAD2-2D0D-4E36-BFD3-F35DCFE306F3}" name="Ethic 3"/>
    <tableColumn id="8" xr3:uid="{7315E64E-690D-4529-9970-6BDC523D78D6}" name="Rule Type"/>
    <tableColumn id="9" xr3:uid="{6C7CE08A-508F-4464-AA84-A2A3474F891B}" name="Pops" dataDxfId="99"/>
    <tableColumn id="10" xr3:uid="{FB21164F-92C4-4D64-AFF9-DAD11937CBF7}" name="Fleet Power" dataDxfId="98"/>
    <tableColumn id="11" xr3:uid="{A8826A23-DF94-4FCD-B88C-3EBEB8FE3DF0}" name="Galaxy Points at 2400" dataDxfId="97"/>
    <tableColumn id="12" xr3:uid="{2041184B-FBFF-46B0-BF7C-6053E6AEDFBD}" name="Win Points Awarded" dataDxfId="96"/>
    <tableColumn id="13" xr3:uid="{0A2E7632-BE64-456B-9CF8-DDCF0DF99E00}" name="Civic 1" dataDxfId="95"/>
    <tableColumn id="14" xr3:uid="{098ADFE6-BC07-448D-B82D-FBA90C242A8A}" name="Civic 2" dataDxfId="94"/>
    <tableColumn id="15" xr3:uid="{AE56F7EE-FDC2-4C45-82B8-E53C50307865}" name="Good Trait 1" dataDxfId="93"/>
    <tableColumn id="16" xr3:uid="{C1419D56-F575-461D-84AB-3C867AB67B20}" name="Good Trait 2" dataDxfId="92"/>
    <tableColumn id="17" xr3:uid="{D9CFF60E-4279-4A41-9F0E-9D3448D5CE99}" name="Good Trait 3" dataDxfId="91"/>
    <tableColumn id="18" xr3:uid="{EE022B6D-0D6D-47F9-AC9D-E566C5C809B7}" name="Good Trait 4" dataDxfId="90"/>
    <tableColumn id="19" xr3:uid="{E0BBF047-9DA5-45BA-8CE8-471F100CA6C9}" name="Good Trait 5" dataDxfId="89"/>
    <tableColumn id="20" xr3:uid="{A84D2DD5-F995-4BA4-A68C-CEE863E64939}" name="Bad Trait 1" dataDxfId="88"/>
    <tableColumn id="21" xr3:uid="{AE290085-5170-4881-8EA2-5691672C2055}" name="Bad Trait 2" dataDxfId="87"/>
    <tableColumn id="2" xr3:uid="{061B0C37-822F-432D-AB2C-EF23E80AD308}" name="Bad Trait 22" dataDxfId="86"/>
    <tableColumn id="22" xr3:uid="{751B1388-CE83-403D-B1E3-CC61BF8149C9}" name="Planet Preference" dataDxfId="85"/>
    <tableColumn id="23" xr3:uid="{3FB1BE7E-FE09-4217-8E8A-45ED965ACEF5}" name="Jumps to nearest AI" dataDxfId="84"/>
    <tableColumn id="24" xr3:uid="{184C01FD-B30B-4178-9DB8-5BA84F40EFE3}" name="Area of Galaxy" dataDxfId="83"/>
    <tableColumn id="25" xr3:uid="{92348A57-0E95-4516-AF36-AE6D7D5F9958}" name="Rim location" dataDxfId="82"/>
    <tableColumn id="26" xr3:uid="{00B82F4E-8091-4430-888C-A47B4B43E2F8}" name="Overlord / Specialist" dataDxfId="81"/>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550B8-C5A7-4E1A-AB7E-E3E3FB20ED45}">
  <sheetPr codeName="Sheet6">
    <tabColor rgb="FFFFC000"/>
  </sheetPr>
  <dimension ref="A1:B111"/>
  <sheetViews>
    <sheetView topLeftCell="A79" zoomScaleNormal="100" workbookViewId="0">
      <selection activeCell="B109" sqref="B109"/>
    </sheetView>
  </sheetViews>
  <sheetFormatPr defaultRowHeight="15" x14ac:dyDescent="0.25"/>
  <cols>
    <col min="1" max="1" width="13.5703125" bestFit="1" customWidth="1"/>
    <col min="2" max="2" width="204.85546875" bestFit="1" customWidth="1"/>
  </cols>
  <sheetData>
    <row r="1" spans="1:2" ht="15.75" thickBot="1" x14ac:dyDescent="0.3">
      <c r="A1" t="s">
        <v>382</v>
      </c>
      <c r="B1" t="s">
        <v>383</v>
      </c>
    </row>
    <row r="2" spans="1:2" ht="15.75" thickTop="1" x14ac:dyDescent="0.25">
      <c r="A2" s="22" t="s">
        <v>86</v>
      </c>
      <c r="B2" s="4" t="s">
        <v>342</v>
      </c>
    </row>
    <row r="3" spans="1:2" x14ac:dyDescent="0.25">
      <c r="A3" s="5"/>
      <c r="B3" s="7" t="s">
        <v>419</v>
      </c>
    </row>
    <row r="4" spans="1:2" x14ac:dyDescent="0.25">
      <c r="A4" s="5"/>
      <c r="B4" s="7" t="s">
        <v>420</v>
      </c>
    </row>
    <row r="5" spans="1:2" x14ac:dyDescent="0.25">
      <c r="A5" s="5"/>
      <c r="B5" s="7"/>
    </row>
    <row r="6" spans="1:2" x14ac:dyDescent="0.25">
      <c r="A6" s="5"/>
      <c r="B6" s="7"/>
    </row>
    <row r="7" spans="1:2" x14ac:dyDescent="0.25">
      <c r="A7" s="5"/>
      <c r="B7" s="7" t="s">
        <v>338</v>
      </c>
    </row>
    <row r="8" spans="1:2" x14ac:dyDescent="0.25">
      <c r="A8" s="5"/>
      <c r="B8" s="7"/>
    </row>
    <row r="9" spans="1:2" x14ac:dyDescent="0.25">
      <c r="A9" s="5"/>
      <c r="B9" s="7" t="s">
        <v>339</v>
      </c>
    </row>
    <row r="10" spans="1:2" x14ac:dyDescent="0.25">
      <c r="A10" s="5"/>
      <c r="B10" s="7" t="s">
        <v>335</v>
      </c>
    </row>
    <row r="11" spans="1:2" x14ac:dyDescent="0.25">
      <c r="A11" s="5"/>
      <c r="B11" s="7" t="s">
        <v>341</v>
      </c>
    </row>
    <row r="12" spans="1:2" x14ac:dyDescent="0.25">
      <c r="A12" s="5"/>
      <c r="B12" s="7"/>
    </row>
    <row r="13" spans="1:2" x14ac:dyDescent="0.25">
      <c r="A13" s="5"/>
      <c r="B13" s="7" t="s">
        <v>340</v>
      </c>
    </row>
    <row r="14" spans="1:2" x14ac:dyDescent="0.25">
      <c r="A14" s="5"/>
      <c r="B14" s="7" t="s">
        <v>336</v>
      </c>
    </row>
    <row r="15" spans="1:2" x14ac:dyDescent="0.25">
      <c r="A15" s="5"/>
      <c r="B15" s="7"/>
    </row>
    <row r="16" spans="1:2" x14ac:dyDescent="0.25">
      <c r="A16" s="5"/>
      <c r="B16" s="7"/>
    </row>
    <row r="17" spans="1:2" x14ac:dyDescent="0.25">
      <c r="A17" s="5"/>
      <c r="B17" s="7" t="s">
        <v>87</v>
      </c>
    </row>
    <row r="18" spans="1:2" x14ac:dyDescent="0.25">
      <c r="A18" s="5"/>
      <c r="B18" s="7"/>
    </row>
    <row r="19" spans="1:2" x14ac:dyDescent="0.25">
      <c r="A19" s="5"/>
      <c r="B19" s="7" t="s">
        <v>220</v>
      </c>
    </row>
    <row r="20" spans="1:2" x14ac:dyDescent="0.25">
      <c r="A20" s="5"/>
      <c r="B20" s="7" t="s">
        <v>221</v>
      </c>
    </row>
    <row r="21" spans="1:2" x14ac:dyDescent="0.25">
      <c r="A21" s="5"/>
      <c r="B21" s="7" t="s">
        <v>222</v>
      </c>
    </row>
    <row r="22" spans="1:2" x14ac:dyDescent="0.25">
      <c r="A22" s="5"/>
      <c r="B22" s="7" t="s">
        <v>223</v>
      </c>
    </row>
    <row r="23" spans="1:2" x14ac:dyDescent="0.25">
      <c r="A23" s="5"/>
      <c r="B23" s="7" t="s">
        <v>224</v>
      </c>
    </row>
    <row r="24" spans="1:2" x14ac:dyDescent="0.25">
      <c r="A24" s="5"/>
      <c r="B24" s="7"/>
    </row>
    <row r="25" spans="1:2" ht="15.75" thickBot="1" x14ac:dyDescent="0.3">
      <c r="A25" s="8"/>
      <c r="B25" s="10"/>
    </row>
    <row r="26" spans="1:2" ht="15.75" thickTop="1" x14ac:dyDescent="0.25">
      <c r="A26" s="22" t="s">
        <v>384</v>
      </c>
      <c r="B26" s="4" t="s">
        <v>352</v>
      </c>
    </row>
    <row r="27" spans="1:2" x14ac:dyDescent="0.25">
      <c r="A27" s="5"/>
      <c r="B27" s="7"/>
    </row>
    <row r="28" spans="1:2" x14ac:dyDescent="0.25">
      <c r="A28" s="5"/>
      <c r="B28" s="7" t="s">
        <v>343</v>
      </c>
    </row>
    <row r="29" spans="1:2" x14ac:dyDescent="0.25">
      <c r="A29" s="5"/>
      <c r="B29" s="7" t="s">
        <v>344</v>
      </c>
    </row>
    <row r="30" spans="1:2" x14ac:dyDescent="0.25">
      <c r="A30" s="5"/>
      <c r="B30" s="7"/>
    </row>
    <row r="31" spans="1:2" x14ac:dyDescent="0.25">
      <c r="A31" s="5"/>
      <c r="B31" s="7"/>
    </row>
    <row r="32" spans="1:2" x14ac:dyDescent="0.25">
      <c r="A32" s="5"/>
      <c r="B32" s="7"/>
    </row>
    <row r="33" spans="1:2" x14ac:dyDescent="0.25">
      <c r="A33" s="5"/>
      <c r="B33" s="7" t="s">
        <v>345</v>
      </c>
    </row>
    <row r="34" spans="1:2" x14ac:dyDescent="0.25">
      <c r="A34" s="5"/>
      <c r="B34" s="7"/>
    </row>
    <row r="35" spans="1:2" x14ac:dyDescent="0.25">
      <c r="A35" s="5"/>
      <c r="B35" s="7" t="s">
        <v>348</v>
      </c>
    </row>
    <row r="36" spans="1:2" x14ac:dyDescent="0.25">
      <c r="A36" s="5"/>
      <c r="B36" s="7" t="s">
        <v>349</v>
      </c>
    </row>
    <row r="37" spans="1:2" x14ac:dyDescent="0.25">
      <c r="A37" s="5"/>
      <c r="B37" s="7" t="s">
        <v>346</v>
      </c>
    </row>
    <row r="38" spans="1:2" x14ac:dyDescent="0.25">
      <c r="A38" s="5"/>
      <c r="B38" s="7" t="s">
        <v>347</v>
      </c>
    </row>
    <row r="39" spans="1:2" x14ac:dyDescent="0.25">
      <c r="A39" s="5"/>
      <c r="B39" s="7" t="s">
        <v>350</v>
      </c>
    </row>
    <row r="40" spans="1:2" x14ac:dyDescent="0.25">
      <c r="A40" s="5"/>
      <c r="B40" s="7" t="s">
        <v>351</v>
      </c>
    </row>
    <row r="41" spans="1:2" x14ac:dyDescent="0.25">
      <c r="A41" s="5"/>
      <c r="B41" s="7"/>
    </row>
    <row r="42" spans="1:2" x14ac:dyDescent="0.25">
      <c r="A42" s="5"/>
      <c r="B42" s="7" t="s">
        <v>359</v>
      </c>
    </row>
    <row r="43" spans="1:2" x14ac:dyDescent="0.25">
      <c r="A43" s="5"/>
      <c r="B43" s="7" t="s">
        <v>360</v>
      </c>
    </row>
    <row r="44" spans="1:2" x14ac:dyDescent="0.25">
      <c r="A44" s="5"/>
      <c r="B44" s="7" t="s">
        <v>361</v>
      </c>
    </row>
    <row r="45" spans="1:2" x14ac:dyDescent="0.25">
      <c r="A45" s="5"/>
      <c r="B45" s="40" t="s">
        <v>362</v>
      </c>
    </row>
    <row r="46" spans="1:2" x14ac:dyDescent="0.25">
      <c r="A46" s="5"/>
      <c r="B46" s="7"/>
    </row>
    <row r="47" spans="1:2" x14ac:dyDescent="0.25">
      <c r="A47" s="5"/>
      <c r="B47" s="7" t="s">
        <v>366</v>
      </c>
    </row>
    <row r="48" spans="1:2" x14ac:dyDescent="0.25">
      <c r="A48" s="5"/>
      <c r="B48" s="7" t="s">
        <v>394</v>
      </c>
    </row>
    <row r="49" spans="1:2" x14ac:dyDescent="0.25">
      <c r="A49" s="5"/>
      <c r="B49" s="41" t="s">
        <v>376</v>
      </c>
    </row>
    <row r="50" spans="1:2" x14ac:dyDescent="0.25">
      <c r="A50" s="5"/>
      <c r="B50" s="7"/>
    </row>
    <row r="51" spans="1:2" x14ac:dyDescent="0.25">
      <c r="A51" s="5"/>
      <c r="B51" s="7" t="s">
        <v>393</v>
      </c>
    </row>
    <row r="52" spans="1:2" x14ac:dyDescent="0.25">
      <c r="A52" s="5"/>
      <c r="B52" s="7" t="s">
        <v>417</v>
      </c>
    </row>
    <row r="53" spans="1:2" x14ac:dyDescent="0.25">
      <c r="A53" s="5"/>
      <c r="B53" s="7" t="s">
        <v>418</v>
      </c>
    </row>
    <row r="56" spans="1:2" x14ac:dyDescent="0.25">
      <c r="A56" s="5" t="s">
        <v>385</v>
      </c>
      <c r="B56" s="7" t="s">
        <v>357</v>
      </c>
    </row>
    <row r="57" spans="1:2" x14ac:dyDescent="0.25">
      <c r="A57" s="5"/>
      <c r="B57" s="7" t="s">
        <v>358</v>
      </c>
    </row>
    <row r="58" spans="1:2" x14ac:dyDescent="0.25">
      <c r="A58" s="5"/>
      <c r="B58" s="7"/>
    </row>
    <row r="59" spans="1:2" x14ac:dyDescent="0.25">
      <c r="A59" s="5"/>
      <c r="B59" s="7"/>
    </row>
    <row r="60" spans="1:2" ht="15.75" thickBot="1" x14ac:dyDescent="0.3">
      <c r="A60" s="8"/>
      <c r="B60" s="10"/>
    </row>
    <row r="61" spans="1:2" ht="15.75" thickTop="1" x14ac:dyDescent="0.25">
      <c r="A61" s="11" t="s">
        <v>101</v>
      </c>
      <c r="B61" s="4"/>
    </row>
    <row r="62" spans="1:2" x14ac:dyDescent="0.25">
      <c r="A62" s="15"/>
      <c r="B62" s="29" t="s">
        <v>102</v>
      </c>
    </row>
    <row r="63" spans="1:2" x14ac:dyDescent="0.25">
      <c r="A63" s="15"/>
      <c r="B63" s="42" t="s">
        <v>173</v>
      </c>
    </row>
    <row r="64" spans="1:2" x14ac:dyDescent="0.25">
      <c r="A64" s="15"/>
      <c r="B64" s="42" t="s">
        <v>104</v>
      </c>
    </row>
    <row r="65" spans="1:2" x14ac:dyDescent="0.25">
      <c r="A65" s="15"/>
      <c r="B65" s="42" t="s">
        <v>103</v>
      </c>
    </row>
    <row r="66" spans="1:2" x14ac:dyDescent="0.25">
      <c r="A66" s="15"/>
      <c r="B66" s="42" t="s">
        <v>105</v>
      </c>
    </row>
    <row r="67" spans="1:2" x14ac:dyDescent="0.25">
      <c r="A67" s="15"/>
      <c r="B67" s="42" t="s">
        <v>172</v>
      </c>
    </row>
    <row r="68" spans="1:2" x14ac:dyDescent="0.25">
      <c r="A68" s="15"/>
      <c r="B68" s="42" t="s">
        <v>212</v>
      </c>
    </row>
    <row r="69" spans="1:2" x14ac:dyDescent="0.25">
      <c r="A69" s="15"/>
      <c r="B69" s="42" t="s">
        <v>213</v>
      </c>
    </row>
    <row r="70" spans="1:2" x14ac:dyDescent="0.25">
      <c r="A70" s="15"/>
      <c r="B70" s="42" t="s">
        <v>217</v>
      </c>
    </row>
    <row r="71" spans="1:2" x14ac:dyDescent="0.25">
      <c r="A71" s="15"/>
      <c r="B71" s="42"/>
    </row>
    <row r="72" spans="1:2" x14ac:dyDescent="0.25">
      <c r="A72" s="15"/>
      <c r="B72" s="29" t="s">
        <v>218</v>
      </c>
    </row>
    <row r="73" spans="1:2" x14ac:dyDescent="0.25">
      <c r="A73" s="15"/>
      <c r="B73" s="42" t="s">
        <v>226</v>
      </c>
    </row>
    <row r="74" spans="1:2" x14ac:dyDescent="0.25">
      <c r="A74" s="15"/>
      <c r="B74" s="42" t="s">
        <v>219</v>
      </c>
    </row>
    <row r="75" spans="1:2" x14ac:dyDescent="0.25">
      <c r="A75" s="5"/>
      <c r="B75" s="42" t="s">
        <v>227</v>
      </c>
    </row>
    <row r="76" spans="1:2" x14ac:dyDescent="0.25">
      <c r="A76" s="5"/>
      <c r="B76" s="42" t="s">
        <v>310</v>
      </c>
    </row>
    <row r="77" spans="1:2" x14ac:dyDescent="0.25">
      <c r="A77" s="5"/>
      <c r="B77" s="42" t="s">
        <v>330</v>
      </c>
    </row>
    <row r="78" spans="1:2" x14ac:dyDescent="0.25">
      <c r="A78" s="5"/>
      <c r="B78" s="42"/>
    </row>
    <row r="79" spans="1:2" x14ac:dyDescent="0.25">
      <c r="A79" s="5"/>
      <c r="B79" s="29" t="s">
        <v>353</v>
      </c>
    </row>
    <row r="80" spans="1:2" x14ac:dyDescent="0.25">
      <c r="A80" s="5"/>
      <c r="B80" s="42" t="s">
        <v>354</v>
      </c>
    </row>
    <row r="81" spans="1:2" x14ac:dyDescent="0.25">
      <c r="A81" s="5"/>
      <c r="B81" s="42" t="s">
        <v>355</v>
      </c>
    </row>
    <row r="82" spans="1:2" x14ac:dyDescent="0.25">
      <c r="A82" s="5"/>
      <c r="B82" s="42" t="s">
        <v>363</v>
      </c>
    </row>
    <row r="83" spans="1:2" x14ac:dyDescent="0.25">
      <c r="A83" s="5"/>
      <c r="B83" s="42" t="s">
        <v>364</v>
      </c>
    </row>
    <row r="84" spans="1:2" x14ac:dyDescent="0.25">
      <c r="A84" s="5"/>
      <c r="B84" s="42" t="s">
        <v>365</v>
      </c>
    </row>
    <row r="85" spans="1:2" x14ac:dyDescent="0.25">
      <c r="A85" s="5"/>
      <c r="B85" s="42"/>
    </row>
    <row r="86" spans="1:2" x14ac:dyDescent="0.25">
      <c r="A86" s="5"/>
      <c r="B86" s="43" t="s">
        <v>369</v>
      </c>
    </row>
    <row r="87" spans="1:2" x14ac:dyDescent="0.25">
      <c r="A87" s="5"/>
      <c r="B87" s="42" t="s">
        <v>378</v>
      </c>
    </row>
    <row r="88" spans="1:2" x14ac:dyDescent="0.25">
      <c r="A88" s="5"/>
      <c r="B88" s="42" t="s">
        <v>370</v>
      </c>
    </row>
    <row r="89" spans="1:2" x14ac:dyDescent="0.25">
      <c r="A89" s="5"/>
      <c r="B89" s="42" t="s">
        <v>373</v>
      </c>
    </row>
    <row r="90" spans="1:2" x14ac:dyDescent="0.25">
      <c r="A90" s="5"/>
      <c r="B90" s="42" t="s">
        <v>374</v>
      </c>
    </row>
    <row r="91" spans="1:2" x14ac:dyDescent="0.25">
      <c r="A91" s="5"/>
      <c r="B91" s="42"/>
    </row>
    <row r="92" spans="1:2" x14ac:dyDescent="0.25">
      <c r="A92" s="5"/>
      <c r="B92" s="29" t="s">
        <v>381</v>
      </c>
    </row>
    <row r="93" spans="1:2" x14ac:dyDescent="0.25">
      <c r="A93" s="5"/>
      <c r="B93" s="42" t="s">
        <v>379</v>
      </c>
    </row>
    <row r="94" spans="1:2" x14ac:dyDescent="0.25">
      <c r="A94" s="5"/>
      <c r="B94" s="42" t="s">
        <v>380</v>
      </c>
    </row>
    <row r="95" spans="1:2" x14ac:dyDescent="0.25">
      <c r="A95" s="5"/>
      <c r="B95" s="42" t="s">
        <v>386</v>
      </c>
    </row>
    <row r="96" spans="1:2" x14ac:dyDescent="0.25">
      <c r="A96" s="5"/>
      <c r="B96" s="42" t="s">
        <v>387</v>
      </c>
    </row>
    <row r="97" spans="1:2" x14ac:dyDescent="0.25">
      <c r="A97" s="5"/>
      <c r="B97" s="7"/>
    </row>
    <row r="98" spans="1:2" x14ac:dyDescent="0.25">
      <c r="A98" s="48"/>
      <c r="B98" s="7" t="s">
        <v>396</v>
      </c>
    </row>
    <row r="99" spans="1:2" x14ac:dyDescent="0.25">
      <c r="A99" s="48"/>
      <c r="B99" s="42" t="s">
        <v>411</v>
      </c>
    </row>
    <row r="100" spans="1:2" x14ac:dyDescent="0.25">
      <c r="B100" s="7" t="s">
        <v>412</v>
      </c>
    </row>
    <row r="101" spans="1:2" x14ac:dyDescent="0.25">
      <c r="B101" s="42" t="s">
        <v>402</v>
      </c>
    </row>
    <row r="102" spans="1:2" x14ac:dyDescent="0.25">
      <c r="B102" s="42" t="s">
        <v>410</v>
      </c>
    </row>
    <row r="103" spans="1:2" x14ac:dyDescent="0.25">
      <c r="B103" s="42" t="s">
        <v>413</v>
      </c>
    </row>
    <row r="104" spans="1:2" x14ac:dyDescent="0.25">
      <c r="B104" s="42" t="s">
        <v>414</v>
      </c>
    </row>
    <row r="105" spans="1:2" x14ac:dyDescent="0.25">
      <c r="B105" s="42" t="s">
        <v>415</v>
      </c>
    </row>
    <row r="106" spans="1:2" x14ac:dyDescent="0.25">
      <c r="B106" s="42" t="s">
        <v>416</v>
      </c>
    </row>
    <row r="107" spans="1:2" x14ac:dyDescent="0.25">
      <c r="B107" s="7"/>
    </row>
    <row r="108" spans="1:2" x14ac:dyDescent="0.25">
      <c r="B108" s="63"/>
    </row>
    <row r="109" spans="1:2" x14ac:dyDescent="0.25">
      <c r="A109" s="44" t="s">
        <v>367</v>
      </c>
      <c r="B109" s="45" t="s">
        <v>368</v>
      </c>
    </row>
    <row r="110" spans="1:2" ht="15.75" thickBot="1" x14ac:dyDescent="0.3">
      <c r="A110" s="46"/>
      <c r="B110" s="47" t="s">
        <v>392</v>
      </c>
    </row>
    <row r="111" spans="1:2" ht="15.75" thickTop="1" x14ac:dyDescent="0.25"/>
  </sheetData>
  <pageMargins left="0.7" right="0.7" top="0.75" bottom="0.75" header="0.3" footer="0.3"/>
  <pageSetup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B9F1C-BC59-4CE8-A476-DAA4B3FB831C}">
  <sheetPr codeName="Sheet11">
    <tabColor theme="9"/>
  </sheetPr>
  <dimension ref="A1:Z32"/>
  <sheetViews>
    <sheetView topLeftCell="E1" workbookViewId="0">
      <selection activeCell="Z1" sqref="Z1"/>
    </sheetView>
  </sheetViews>
  <sheetFormatPr defaultRowHeight="15" x14ac:dyDescent="0.25"/>
  <cols>
    <col min="3" max="3" width="19.85546875" bestFit="1" customWidth="1"/>
    <col min="23" max="23" width="22.14062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329</v>
      </c>
      <c r="V1" s="1" t="s">
        <v>276</v>
      </c>
      <c r="W1" s="1" t="s">
        <v>106</v>
      </c>
      <c r="X1" s="1" t="s">
        <v>107</v>
      </c>
      <c r="Y1" s="1" t="s">
        <v>108</v>
      </c>
      <c r="Z1" s="1" t="s">
        <v>421</v>
      </c>
    </row>
    <row r="2" spans="1:26" x14ac:dyDescent="0.25">
      <c r="H2" s="1"/>
      <c r="I2" s="1"/>
      <c r="J2" s="1"/>
      <c r="K2" s="1"/>
      <c r="L2" s="1"/>
      <c r="M2" s="1"/>
      <c r="N2" s="1"/>
      <c r="O2" s="1"/>
      <c r="P2" s="1"/>
      <c r="Q2" s="1"/>
      <c r="R2" s="1"/>
      <c r="S2" s="1"/>
      <c r="T2" s="1"/>
      <c r="U2" s="1"/>
      <c r="V2" s="1"/>
      <c r="W2" s="1"/>
      <c r="X2" s="1"/>
      <c r="Y2" s="1"/>
      <c r="Z2" s="1"/>
    </row>
    <row r="3" spans="1:26" x14ac:dyDescent="0.25">
      <c r="H3" s="1"/>
      <c r="I3" s="1"/>
      <c r="J3" s="1"/>
      <c r="K3" s="1"/>
      <c r="L3" s="1"/>
      <c r="M3" s="1"/>
      <c r="N3" s="1"/>
      <c r="O3" s="1"/>
      <c r="P3" s="1"/>
      <c r="Q3" s="1"/>
      <c r="R3" s="1"/>
      <c r="S3" s="1"/>
      <c r="T3" s="1"/>
      <c r="U3" s="1"/>
      <c r="V3" s="1"/>
      <c r="W3" s="1"/>
      <c r="X3" s="1"/>
      <c r="Y3" s="1"/>
      <c r="Z3" s="1"/>
    </row>
    <row r="4" spans="1:26" x14ac:dyDescent="0.25">
      <c r="H4" s="1"/>
      <c r="I4" s="1"/>
      <c r="J4" s="1"/>
      <c r="K4" s="1"/>
      <c r="L4" s="1"/>
      <c r="M4" s="1"/>
      <c r="N4" s="1"/>
      <c r="O4" s="1"/>
      <c r="P4" s="1"/>
      <c r="Q4" s="1"/>
      <c r="R4" s="1"/>
      <c r="S4" s="1"/>
      <c r="T4" s="1"/>
      <c r="U4" s="1"/>
      <c r="V4" s="1"/>
      <c r="W4" s="1"/>
      <c r="X4" s="1"/>
      <c r="Y4" s="1"/>
      <c r="Z4" s="1"/>
    </row>
    <row r="5" spans="1:26" x14ac:dyDescent="0.25">
      <c r="H5" s="1"/>
      <c r="I5" s="1"/>
      <c r="J5" s="1"/>
      <c r="K5" s="1"/>
      <c r="L5" s="1"/>
      <c r="M5" s="1"/>
      <c r="N5" s="1"/>
      <c r="O5" s="1"/>
      <c r="P5" s="1"/>
      <c r="Q5" s="1"/>
      <c r="R5" s="1"/>
      <c r="S5" s="1"/>
      <c r="T5" s="1"/>
      <c r="U5" s="1"/>
      <c r="V5" s="1"/>
      <c r="W5" s="1"/>
      <c r="X5" s="1"/>
      <c r="Y5" s="1"/>
      <c r="Z5" s="1"/>
    </row>
    <row r="6" spans="1:26" x14ac:dyDescent="0.25">
      <c r="H6" s="1"/>
      <c r="I6" s="1"/>
      <c r="J6" s="1"/>
      <c r="K6" s="1"/>
      <c r="L6" s="1"/>
      <c r="M6" s="1"/>
      <c r="N6" s="1"/>
      <c r="O6" s="1"/>
      <c r="P6" s="1"/>
      <c r="Q6" s="1"/>
      <c r="R6" s="1"/>
      <c r="S6" s="1"/>
      <c r="T6" s="1"/>
      <c r="U6" s="1"/>
      <c r="V6" s="1"/>
      <c r="W6" s="1"/>
      <c r="X6" s="1"/>
      <c r="Y6" s="1"/>
      <c r="Z6" s="1"/>
    </row>
    <row r="7" spans="1:26" x14ac:dyDescent="0.25">
      <c r="H7" s="1"/>
      <c r="I7" s="1"/>
      <c r="J7" s="1"/>
      <c r="K7" s="1"/>
      <c r="L7" s="1"/>
      <c r="M7" s="1"/>
      <c r="N7" s="1"/>
      <c r="O7" s="1"/>
      <c r="P7" s="1"/>
      <c r="Q7" s="1"/>
      <c r="R7" s="1"/>
      <c r="S7" s="1"/>
      <c r="T7" s="1"/>
      <c r="U7" s="1"/>
      <c r="V7" s="1"/>
      <c r="W7" s="1"/>
      <c r="X7" s="1"/>
      <c r="Y7" s="1"/>
      <c r="Z7" s="1"/>
    </row>
    <row r="8" spans="1:26" x14ac:dyDescent="0.25">
      <c r="H8" s="1"/>
      <c r="I8" s="1"/>
      <c r="J8" s="1"/>
      <c r="K8" s="1"/>
      <c r="L8" s="1"/>
      <c r="M8" s="1"/>
      <c r="N8" s="1"/>
      <c r="O8" s="1"/>
      <c r="P8" s="1"/>
      <c r="Q8" s="1"/>
      <c r="R8" s="1"/>
      <c r="S8" s="1"/>
      <c r="T8" s="1"/>
      <c r="U8" s="1"/>
      <c r="V8" s="1"/>
      <c r="W8" s="1"/>
      <c r="X8" s="1"/>
      <c r="Y8" s="1"/>
      <c r="Z8" s="1"/>
    </row>
    <row r="9" spans="1:26" x14ac:dyDescent="0.25">
      <c r="H9" s="1"/>
      <c r="I9" s="1"/>
      <c r="J9" s="1"/>
      <c r="K9" s="1"/>
      <c r="L9" s="1"/>
      <c r="M9" s="1"/>
      <c r="N9" s="1"/>
      <c r="O9" s="1"/>
      <c r="P9" s="1"/>
      <c r="Q9" s="1"/>
      <c r="R9" s="1"/>
      <c r="S9" s="1"/>
      <c r="T9" s="1"/>
      <c r="U9" s="1"/>
      <c r="V9" s="1"/>
      <c r="W9" s="1"/>
      <c r="X9" s="1"/>
      <c r="Y9" s="1"/>
      <c r="Z9" s="1"/>
    </row>
    <row r="10" spans="1:26" x14ac:dyDescent="0.25">
      <c r="H10" s="1"/>
      <c r="I10" s="1"/>
      <c r="J10" s="1"/>
      <c r="K10" s="1"/>
      <c r="L10" s="1"/>
      <c r="M10" s="1"/>
      <c r="N10" s="1"/>
      <c r="O10" s="1"/>
      <c r="P10" s="1"/>
      <c r="Q10" s="1"/>
      <c r="R10" s="1"/>
      <c r="S10" s="1"/>
      <c r="T10" s="1"/>
      <c r="U10" s="1"/>
      <c r="V10" s="1"/>
      <c r="W10" s="1"/>
      <c r="X10" s="1"/>
      <c r="Y10" s="1"/>
      <c r="Z10" s="1"/>
    </row>
    <row r="11" spans="1:26" x14ac:dyDescent="0.25">
      <c r="H11" s="1"/>
      <c r="I11" s="1"/>
      <c r="J11" s="1"/>
      <c r="K11" s="1"/>
      <c r="L11" s="1"/>
      <c r="M11" s="1"/>
      <c r="N11" s="1"/>
      <c r="O11" s="1"/>
      <c r="P11" s="1"/>
      <c r="Q11" s="1"/>
      <c r="R11" s="1"/>
      <c r="S11" s="1"/>
      <c r="T11" s="1"/>
      <c r="U11" s="1"/>
      <c r="V11" s="1"/>
      <c r="W11" s="1"/>
      <c r="X11" s="1"/>
      <c r="Y11" s="1"/>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1:26" x14ac:dyDescent="0.25">
      <c r="H17" s="1"/>
      <c r="I17" s="1"/>
      <c r="J17" s="1"/>
      <c r="K17" s="1"/>
      <c r="L17" s="1"/>
      <c r="M17" s="1"/>
      <c r="N17" s="1"/>
      <c r="O17" s="1"/>
      <c r="P17" s="1"/>
      <c r="Q17" s="1"/>
      <c r="R17" s="1"/>
      <c r="S17" s="1"/>
      <c r="T17" s="1"/>
      <c r="U17" s="1"/>
      <c r="V17" s="1"/>
      <c r="W17" s="1"/>
      <c r="X17" s="1"/>
      <c r="Y17" s="1"/>
      <c r="Z17" s="1"/>
    </row>
    <row r="18" spans="1:26" x14ac:dyDescent="0.25">
      <c r="H18" s="1"/>
      <c r="I18" s="1"/>
      <c r="J18" s="1"/>
      <c r="K18" s="1"/>
      <c r="L18" s="1"/>
      <c r="M18" s="1"/>
      <c r="N18" s="1"/>
      <c r="O18" s="1"/>
      <c r="P18" s="1"/>
      <c r="Q18" s="1"/>
      <c r="R18" s="1"/>
      <c r="S18" s="1"/>
      <c r="T18" s="1"/>
      <c r="U18" s="1"/>
      <c r="V18" s="1"/>
      <c r="W18" s="1"/>
      <c r="X18" s="1"/>
      <c r="Y18" s="1"/>
      <c r="Z18" s="1"/>
    </row>
    <row r="19" spans="1:26" x14ac:dyDescent="0.25">
      <c r="H19" s="1"/>
      <c r="I19" s="1"/>
      <c r="J19" s="1"/>
      <c r="K19" s="1"/>
      <c r="L19" s="1"/>
      <c r="M19" s="1"/>
      <c r="N19" s="1"/>
      <c r="O19" s="1"/>
      <c r="P19" s="1"/>
      <c r="Q19" s="1"/>
      <c r="R19" s="1"/>
      <c r="S19" s="1"/>
      <c r="T19" s="1"/>
      <c r="U19" s="1"/>
      <c r="V19" s="1"/>
      <c r="W19" s="1"/>
      <c r="X19" s="1"/>
      <c r="Y19" s="1"/>
      <c r="Z19" s="1"/>
    </row>
    <row r="20" spans="1:26" x14ac:dyDescent="0.25">
      <c r="H20" s="1"/>
      <c r="I20" s="1"/>
      <c r="J20" s="1"/>
      <c r="K20" s="1"/>
      <c r="L20" s="1"/>
      <c r="M20" s="1"/>
      <c r="N20" s="1"/>
      <c r="O20" s="1"/>
      <c r="P20" s="1"/>
      <c r="Q20" s="1"/>
      <c r="R20" s="1"/>
      <c r="S20" s="1"/>
      <c r="T20" s="1"/>
      <c r="U20" s="1"/>
      <c r="V20" s="1"/>
      <c r="W20" s="1"/>
      <c r="X20" s="1"/>
      <c r="Y20" s="1"/>
      <c r="Z20" s="1"/>
    </row>
    <row r="21" spans="1:26" x14ac:dyDescent="0.25">
      <c r="H21" s="1"/>
      <c r="I21" s="1"/>
      <c r="J21" s="1"/>
      <c r="K21" s="1"/>
      <c r="L21" s="1"/>
      <c r="M21" s="1"/>
      <c r="N21" s="1"/>
      <c r="O21" s="1"/>
      <c r="P21" s="1"/>
      <c r="Q21" s="1"/>
      <c r="R21" s="1"/>
      <c r="S21" s="1"/>
      <c r="T21" s="1"/>
      <c r="U21" s="1"/>
      <c r="V21" s="1"/>
      <c r="W21" s="1"/>
      <c r="X21" s="1"/>
      <c r="Y21" s="1"/>
      <c r="Z21" s="1"/>
    </row>
    <row r="22" spans="1:26" x14ac:dyDescent="0.25">
      <c r="H22" s="1"/>
      <c r="I22" s="1"/>
      <c r="J22" s="1"/>
      <c r="K22" s="1"/>
      <c r="L22" s="1"/>
      <c r="M22" s="1"/>
      <c r="N22" s="1"/>
      <c r="O22" s="1"/>
      <c r="P22" s="1"/>
      <c r="Q22" s="1"/>
      <c r="R22" s="1"/>
      <c r="S22" s="1"/>
      <c r="T22" s="1"/>
      <c r="U22" s="1"/>
      <c r="V22" s="1"/>
      <c r="W22" s="1"/>
      <c r="X22" s="1"/>
      <c r="Y22" s="1"/>
      <c r="Z22" s="1"/>
    </row>
    <row r="23" spans="1:26" x14ac:dyDescent="0.25">
      <c r="H23" s="1"/>
      <c r="I23" s="1"/>
      <c r="J23" s="1"/>
      <c r="K23" s="1"/>
      <c r="L23" s="1"/>
      <c r="M23" s="1"/>
      <c r="N23" s="1"/>
      <c r="O23" s="1"/>
      <c r="P23" s="1"/>
      <c r="Q23" s="1"/>
      <c r="R23" s="1"/>
      <c r="S23" s="1"/>
      <c r="T23" s="1"/>
      <c r="U23" s="1"/>
      <c r="V23" s="1"/>
      <c r="W23" s="1"/>
      <c r="X23" s="1"/>
      <c r="Y23" s="1"/>
      <c r="Z23" s="1"/>
    </row>
    <row r="24" spans="1:26" x14ac:dyDescent="0.25">
      <c r="H24" s="1"/>
      <c r="I24" s="1"/>
      <c r="J24" s="1"/>
      <c r="K24" s="1"/>
      <c r="L24" s="1"/>
      <c r="M24" s="1"/>
      <c r="N24" s="1"/>
      <c r="O24" s="1"/>
      <c r="P24" s="1"/>
      <c r="Q24" s="1"/>
      <c r="R24" s="1"/>
      <c r="S24" s="1"/>
      <c r="T24" s="1"/>
      <c r="U24" s="1"/>
      <c r="V24" s="1"/>
      <c r="W24" s="1"/>
      <c r="X24" s="1"/>
      <c r="Y24" s="1"/>
      <c r="Z24" s="1"/>
    </row>
    <row r="25" spans="1:26" x14ac:dyDescent="0.25">
      <c r="H25" s="1"/>
      <c r="I25" s="1"/>
      <c r="J25" s="1"/>
      <c r="K25" s="1"/>
      <c r="L25" s="1"/>
      <c r="M25" s="1"/>
      <c r="N25" s="1"/>
      <c r="O25" s="1"/>
      <c r="P25" s="1"/>
      <c r="Q25" s="1"/>
      <c r="R25" s="1"/>
      <c r="S25" s="1"/>
      <c r="T25" s="1"/>
      <c r="U25" s="1"/>
      <c r="V25" s="1"/>
      <c r="W25" s="1"/>
      <c r="X25" s="1"/>
      <c r="Y25" s="1"/>
      <c r="Z25" s="1"/>
    </row>
    <row r="26" spans="1:26" x14ac:dyDescent="0.25">
      <c r="H26" s="1"/>
      <c r="I26" s="1"/>
      <c r="J26" s="1"/>
      <c r="K26" s="1"/>
      <c r="L26" s="1"/>
      <c r="M26" s="1"/>
      <c r="N26" s="1"/>
      <c r="O26" s="1"/>
      <c r="P26" s="1"/>
      <c r="Q26" s="1"/>
      <c r="R26" s="1"/>
      <c r="S26" s="1"/>
      <c r="T26" s="1"/>
      <c r="U26" s="1"/>
      <c r="V26" s="1"/>
      <c r="W26" s="1"/>
      <c r="X26" s="1"/>
      <c r="Y26" s="1"/>
      <c r="Z26" s="1"/>
    </row>
    <row r="27" spans="1:26" x14ac:dyDescent="0.25">
      <c r="H27" s="1"/>
      <c r="I27" s="1"/>
      <c r="J27" s="1"/>
      <c r="K27" s="1"/>
      <c r="L27" s="1"/>
      <c r="M27" s="1"/>
      <c r="N27" s="1"/>
      <c r="O27" s="1"/>
      <c r="P27" s="1"/>
      <c r="Q27" s="1"/>
      <c r="R27" s="1"/>
      <c r="S27" s="1"/>
      <c r="T27" s="1"/>
      <c r="U27" s="1"/>
      <c r="V27" s="1"/>
      <c r="W27" s="1"/>
      <c r="X27" s="1"/>
      <c r="Y27" s="1"/>
      <c r="Z27" s="1"/>
    </row>
    <row r="28" spans="1:26" x14ac:dyDescent="0.25">
      <c r="H28" s="1"/>
      <c r="I28" s="1"/>
      <c r="J28" s="1"/>
      <c r="K28" s="1"/>
      <c r="L28" s="1"/>
      <c r="M28" s="1"/>
      <c r="N28" s="1"/>
      <c r="O28" s="1"/>
      <c r="P28" s="1"/>
      <c r="Q28" s="1"/>
      <c r="R28" s="1"/>
      <c r="S28" s="1"/>
      <c r="T28" s="1"/>
      <c r="U28" s="1"/>
      <c r="V28" s="1"/>
      <c r="W28" s="1"/>
      <c r="X28" s="1"/>
      <c r="Y28" s="1"/>
      <c r="Z28" s="1"/>
    </row>
    <row r="29" spans="1:26" x14ac:dyDescent="0.25">
      <c r="H29" s="1"/>
      <c r="I29" s="1"/>
      <c r="J29" s="1"/>
      <c r="K29" s="1"/>
      <c r="L29" s="1"/>
      <c r="M29" s="1"/>
      <c r="N29" s="1"/>
      <c r="O29" s="1"/>
      <c r="P29" s="1"/>
      <c r="Q29" s="1"/>
      <c r="R29" s="1"/>
      <c r="S29" s="1"/>
      <c r="T29" s="1"/>
      <c r="U29" s="1"/>
      <c r="V29" s="1"/>
      <c r="W29" s="1"/>
      <c r="X29" s="1"/>
      <c r="Y29" s="1"/>
      <c r="Z29" s="1"/>
    </row>
    <row r="30" spans="1:26" x14ac:dyDescent="0.25">
      <c r="H30" s="1"/>
      <c r="I30" s="1"/>
      <c r="J30" s="1"/>
      <c r="K30" s="1"/>
      <c r="L30" s="1"/>
      <c r="M30" s="1"/>
      <c r="N30" s="1"/>
      <c r="O30" s="1"/>
      <c r="P30" s="1"/>
      <c r="Q30" s="1"/>
      <c r="R30" s="1"/>
      <c r="S30" s="1"/>
      <c r="T30" s="1"/>
      <c r="U30" s="1"/>
      <c r="V30" s="1"/>
      <c r="W30" s="1"/>
      <c r="X30" s="1"/>
      <c r="Y30" s="1"/>
      <c r="Z30" s="1"/>
    </row>
    <row r="31" spans="1:26" x14ac:dyDescent="0.25">
      <c r="H31" s="1"/>
      <c r="I31" s="1"/>
      <c r="J31" s="1"/>
      <c r="K31" s="1"/>
      <c r="L31" s="1"/>
      <c r="M31" s="1"/>
      <c r="N31" s="1"/>
      <c r="O31" s="1"/>
      <c r="P31" s="1"/>
      <c r="Q31" s="1"/>
      <c r="R31" s="1"/>
      <c r="S31" s="1"/>
      <c r="T31" s="1"/>
      <c r="U31" s="1"/>
      <c r="V31" s="1"/>
      <c r="W31" s="1"/>
      <c r="X31" s="1"/>
      <c r="Y31" s="1"/>
      <c r="Z31" s="1"/>
    </row>
    <row r="32" spans="1:26" x14ac:dyDescent="0.25">
      <c r="A32" s="54"/>
      <c r="B32" s="54"/>
      <c r="C32" s="54"/>
      <c r="D32" s="54"/>
      <c r="E32" s="54"/>
      <c r="F32" s="54"/>
      <c r="G32" s="54"/>
    </row>
  </sheetData>
  <mergeCells count="1">
    <mergeCell ref="A32:G32"/>
  </mergeCells>
  <phoneticPr fontId="1" type="noConversion"/>
  <conditionalFormatting sqref="K2:K31">
    <cfRule type="colorScale" priority="4">
      <colorScale>
        <cfvo type="min"/>
        <cfvo type="percentile" val="50"/>
        <cfvo type="max"/>
        <color rgb="FFF8696B"/>
        <color rgb="FFFFEB84"/>
        <color rgb="FF63BE7B"/>
      </colorScale>
    </cfRule>
  </conditionalFormatting>
  <conditionalFormatting sqref="J2:J31">
    <cfRule type="colorScale" priority="3">
      <colorScale>
        <cfvo type="min"/>
        <cfvo type="percentile" val="50"/>
        <cfvo type="max"/>
        <color rgb="FFF8696B"/>
        <color rgb="FFFFEB84"/>
        <color rgb="FF63BE7B"/>
      </colorScale>
    </cfRule>
  </conditionalFormatting>
  <conditionalFormatting sqref="I2:I31">
    <cfRule type="colorScale" priority="2">
      <colorScale>
        <cfvo type="min"/>
        <cfvo type="percentile" val="50"/>
        <cfvo type="max"/>
        <color rgb="FFF8696B"/>
        <color rgb="FFFFEB84"/>
        <color rgb="FF63BE7B"/>
      </colorScale>
    </cfRule>
  </conditionalFormatting>
  <conditionalFormatting sqref="H2:H3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DF389010-70C6-47C3-BBDC-59B4A4980CEB}">
          <x14:formula1>
            <xm:f>Contents!$A$2:$A$18</xm:f>
          </x14:formula1>
          <xm:sqref>D2:F31</xm:sqref>
        </x14:dataValidation>
        <x14:dataValidation type="list" allowBlank="1" showInputMessage="1" showErrorMessage="1" xr:uid="{D6A2E3F5-A437-4408-B744-8A71AE7756C2}">
          <x14:formula1>
            <xm:f>Contents!$C$2:$C$8</xm:f>
          </x14:formula1>
          <xm:sqref>G2:G31</xm:sqref>
        </x14:dataValidation>
        <x14:dataValidation type="list" allowBlank="1" showInputMessage="1" showErrorMessage="1" xr:uid="{E9BFA21F-E3B7-424C-BCE3-BF8416299FAC}">
          <x14:formula1>
            <xm:f>Contents!$D$2:$D$28</xm:f>
          </x14:formula1>
          <xm:sqref>B2:B31</xm:sqref>
        </x14:dataValidation>
        <x14:dataValidation type="list" allowBlank="1" showInputMessage="1" showErrorMessage="1" xr:uid="{66988876-044F-41AD-830B-C7069895CE4A}">
          <x14:formula1>
            <xm:f>Contents!$J$2:$J$88</xm:f>
          </x14:formula1>
          <xm:sqref>L2:M31</xm:sqref>
        </x14:dataValidation>
        <x14:dataValidation type="list" allowBlank="1" showInputMessage="1" showErrorMessage="1" xr:uid="{77B5543A-59D6-4C61-9C6B-8FE13C6841D8}">
          <x14:formula1>
            <xm:f>Contents!$I$2:$I$4</xm:f>
          </x14:formula1>
          <xm:sqref>Y2:Y31</xm:sqref>
        </x14:dataValidation>
        <x14:dataValidation type="list" allowBlank="1" showInputMessage="1" showErrorMessage="1" xr:uid="{F77A60E1-741A-4073-8EDE-78ADCA980DB5}">
          <x14:formula1>
            <xm:f>Contents!$G$2:$G$9</xm:f>
          </x14:formula1>
          <xm:sqref>X2:X31</xm:sqref>
        </x14:dataValidation>
        <x14:dataValidation type="list" allowBlank="1" showInputMessage="1" showErrorMessage="1" xr:uid="{13016CA5-792C-4F69-B419-82D992ADFE74}">
          <x14:formula1>
            <xm:f>Contents!$L$2:$L$21</xm:f>
          </x14:formula1>
          <xm:sqref>S2:U31</xm:sqref>
        </x14:dataValidation>
        <x14:dataValidation type="list" allowBlank="1" showInputMessage="1" showErrorMessage="1" xr:uid="{C0FB5EB3-5D0D-4C7C-81CF-6B6E1A4FD993}">
          <x14:formula1>
            <xm:f>Contents!$K$2:$K$59</xm:f>
          </x14:formula1>
          <xm:sqref>N2:R7 N9:R31 R8 N8:O8</xm:sqref>
        </x14:dataValidation>
        <x14:dataValidation type="list" allowBlank="1" showInputMessage="1" showErrorMessage="1" xr:uid="{1CD5F756-8988-473F-95D3-030D0BBF01BB}">
          <x14:formula1>
            <xm:f>Contents!$M$2:$M$17</xm:f>
          </x14:formula1>
          <xm:sqref>V2:V31</xm:sqref>
        </x14:dataValidation>
        <x14:dataValidation type="list" allowBlank="1" showInputMessage="1" showErrorMessage="1" xr:uid="{3DD30740-9ADB-42EA-BE94-51D7C861595B}">
          <x14:formula1>
            <xm:f>Contents!$H$2:$H$22</xm:f>
          </x14:formula1>
          <xm:sqref>W2:W31</xm:sqref>
        </x14:dataValidation>
        <x14:dataValidation type="list" allowBlank="1" showInputMessage="1" showErrorMessage="1" xr:uid="{7110CF1D-583E-481F-BE64-9AD3A89F7925}">
          <x14:formula1>
            <xm:f>Contents!$N$2:$N$5</xm:f>
          </x14:formula1>
          <xm:sqref>Z2:Z31</xm:sqref>
        </x14:dataValidation>
        <x14:dataValidation type="list" allowBlank="1" showInputMessage="1" showErrorMessage="1" xr:uid="{6A270C12-B5C4-42DE-A7CE-B15C68E3C9F0}">
          <x14:formula1>
            <xm:f>Contents!$F$2:$F$14</xm:f>
          </x14:formula1>
          <xm:sqref>C2:C31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96414-BEB4-48A0-9359-663849A02106}">
  <sheetPr codeName="Sheet12">
    <tabColor theme="9"/>
  </sheetPr>
  <dimension ref="A1:Z32"/>
  <sheetViews>
    <sheetView topLeftCell="W1" workbookViewId="0">
      <selection activeCell="Z1" sqref="Z1"/>
    </sheetView>
  </sheetViews>
  <sheetFormatPr defaultRowHeight="15" x14ac:dyDescent="0.25"/>
  <cols>
    <col min="3" max="3" width="19.85546875" bestFit="1" customWidth="1"/>
    <col min="23" max="23" width="22.14062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329</v>
      </c>
      <c r="V1" s="1" t="s">
        <v>276</v>
      </c>
      <c r="W1" s="1" t="s">
        <v>106</v>
      </c>
      <c r="X1" s="1" t="s">
        <v>107</v>
      </c>
      <c r="Y1" s="1" t="s">
        <v>108</v>
      </c>
      <c r="Z1" s="1" t="s">
        <v>421</v>
      </c>
    </row>
    <row r="2" spans="1:26" x14ac:dyDescent="0.25">
      <c r="H2" s="1"/>
      <c r="I2" s="1"/>
      <c r="J2" s="1"/>
      <c r="K2" s="1"/>
      <c r="L2" s="1"/>
      <c r="M2" s="1"/>
      <c r="N2" s="1"/>
      <c r="O2" s="1"/>
      <c r="P2" s="1"/>
      <c r="Q2" s="1"/>
      <c r="R2" s="1"/>
      <c r="S2" s="1"/>
      <c r="T2" s="1"/>
      <c r="U2" s="1"/>
      <c r="V2" s="1"/>
      <c r="W2" s="1"/>
      <c r="X2" s="1"/>
      <c r="Y2" s="1"/>
      <c r="Z2" s="1"/>
    </row>
    <row r="3" spans="1:26" x14ac:dyDescent="0.25">
      <c r="H3" s="1"/>
      <c r="I3" s="1"/>
      <c r="J3" s="1"/>
      <c r="K3" s="1"/>
      <c r="L3" s="1"/>
      <c r="M3" s="1"/>
      <c r="N3" s="1"/>
      <c r="O3" s="1"/>
      <c r="P3" s="1"/>
      <c r="Q3" s="1"/>
      <c r="R3" s="1"/>
      <c r="S3" s="1"/>
      <c r="T3" s="1"/>
      <c r="U3" s="1"/>
      <c r="V3" s="1"/>
      <c r="W3" s="1"/>
      <c r="X3" s="1"/>
      <c r="Y3" s="1"/>
      <c r="Z3" s="1"/>
    </row>
    <row r="4" spans="1:26" x14ac:dyDescent="0.25">
      <c r="H4" s="1"/>
      <c r="I4" s="1"/>
      <c r="J4" s="1"/>
      <c r="K4" s="1"/>
      <c r="L4" s="1"/>
      <c r="M4" s="1"/>
      <c r="N4" s="1"/>
      <c r="O4" s="1"/>
      <c r="P4" s="1"/>
      <c r="Q4" s="1"/>
      <c r="R4" s="1"/>
      <c r="S4" s="1"/>
      <c r="T4" s="1"/>
      <c r="U4" s="1"/>
      <c r="V4" s="1"/>
      <c r="W4" s="1"/>
      <c r="X4" s="1"/>
      <c r="Y4" s="1"/>
      <c r="Z4" s="1"/>
    </row>
    <row r="5" spans="1:26" x14ac:dyDescent="0.25">
      <c r="H5" s="1"/>
      <c r="I5" s="1"/>
      <c r="J5" s="1"/>
      <c r="K5" s="1"/>
      <c r="L5" s="1"/>
      <c r="M5" s="1"/>
      <c r="N5" s="1"/>
      <c r="O5" s="1"/>
      <c r="P5" s="1"/>
      <c r="Q5" s="1"/>
      <c r="R5" s="1"/>
      <c r="S5" s="1"/>
      <c r="T5" s="1"/>
      <c r="U5" s="1"/>
      <c r="V5" s="1"/>
      <c r="W5" s="1"/>
      <c r="X5" s="1"/>
      <c r="Y5" s="1"/>
      <c r="Z5" s="1"/>
    </row>
    <row r="6" spans="1:26" x14ac:dyDescent="0.25">
      <c r="H6" s="1"/>
      <c r="I6" s="1"/>
      <c r="J6" s="1"/>
      <c r="K6" s="1"/>
      <c r="L6" s="1"/>
      <c r="M6" s="1"/>
      <c r="N6" s="1"/>
      <c r="O6" s="1"/>
      <c r="P6" s="1"/>
      <c r="Q6" s="1"/>
      <c r="R6" s="1"/>
      <c r="S6" s="1"/>
      <c r="T6" s="1"/>
      <c r="U6" s="1"/>
      <c r="V6" s="1"/>
      <c r="W6" s="1"/>
      <c r="X6" s="1"/>
      <c r="Y6" s="1"/>
      <c r="Z6" s="1"/>
    </row>
    <row r="7" spans="1:26" x14ac:dyDescent="0.25">
      <c r="H7" s="1"/>
      <c r="I7" s="1"/>
      <c r="J7" s="1"/>
      <c r="K7" s="1"/>
      <c r="L7" s="1"/>
      <c r="M7" s="1"/>
      <c r="N7" s="1"/>
      <c r="O7" s="1"/>
      <c r="P7" s="1"/>
      <c r="Q7" s="1"/>
      <c r="R7" s="1"/>
      <c r="S7" s="1"/>
      <c r="T7" s="1"/>
      <c r="U7" s="1"/>
      <c r="V7" s="1"/>
      <c r="W7" s="1"/>
      <c r="X7" s="1"/>
      <c r="Y7" s="1"/>
      <c r="Z7" s="1"/>
    </row>
    <row r="8" spans="1:26" x14ac:dyDescent="0.25">
      <c r="H8" s="1"/>
      <c r="I8" s="1"/>
      <c r="J8" s="1"/>
      <c r="K8" s="1"/>
      <c r="L8" s="1"/>
      <c r="M8" s="1"/>
      <c r="N8" s="1"/>
      <c r="O8" s="1"/>
      <c r="P8" s="1"/>
      <c r="Q8" s="1"/>
      <c r="R8" s="1"/>
      <c r="S8" s="1"/>
      <c r="T8" s="1"/>
      <c r="U8" s="1"/>
      <c r="V8" s="1"/>
      <c r="W8" s="1"/>
      <c r="X8" s="1"/>
      <c r="Y8" s="1"/>
      <c r="Z8" s="1"/>
    </row>
    <row r="9" spans="1:26" x14ac:dyDescent="0.25">
      <c r="H9" s="1"/>
      <c r="I9" s="1"/>
      <c r="J9" s="1"/>
      <c r="K9" s="1"/>
      <c r="L9" s="1"/>
      <c r="M9" s="1"/>
      <c r="N9" s="1"/>
      <c r="O9" s="1"/>
      <c r="P9" s="1"/>
      <c r="Q9" s="1"/>
      <c r="R9" s="1"/>
      <c r="S9" s="1"/>
      <c r="T9" s="1"/>
      <c r="U9" s="1"/>
      <c r="V9" s="1"/>
      <c r="W9" s="1"/>
      <c r="X9" s="1"/>
      <c r="Y9" s="1"/>
      <c r="Z9" s="1"/>
    </row>
    <row r="10" spans="1:26" x14ac:dyDescent="0.25">
      <c r="H10" s="1"/>
      <c r="I10" s="1"/>
      <c r="J10" s="1"/>
      <c r="K10" s="1"/>
      <c r="L10" s="1"/>
      <c r="M10" s="1"/>
      <c r="N10" s="1"/>
      <c r="O10" s="1"/>
      <c r="P10" s="1"/>
      <c r="Q10" s="1"/>
      <c r="R10" s="1"/>
      <c r="S10" s="1"/>
      <c r="T10" s="1"/>
      <c r="U10" s="1"/>
      <c r="V10" s="1"/>
      <c r="W10" s="1"/>
      <c r="X10" s="1"/>
      <c r="Y10" s="1"/>
      <c r="Z10" s="1"/>
    </row>
    <row r="11" spans="1:26" x14ac:dyDescent="0.25">
      <c r="H11" s="1"/>
      <c r="I11" s="1"/>
      <c r="J11" s="1"/>
      <c r="K11" s="1"/>
      <c r="L11" s="1"/>
      <c r="M11" s="1"/>
      <c r="N11" s="1"/>
      <c r="O11" s="1"/>
      <c r="P11" s="1"/>
      <c r="Q11" s="1"/>
      <c r="R11" s="1"/>
      <c r="S11" s="1"/>
      <c r="T11" s="1"/>
      <c r="U11" s="1"/>
      <c r="V11" s="1"/>
      <c r="W11" s="1"/>
      <c r="X11" s="1"/>
      <c r="Y11" s="1"/>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1:26" x14ac:dyDescent="0.25">
      <c r="H17" s="1"/>
      <c r="I17" s="1"/>
      <c r="J17" s="1"/>
      <c r="K17" s="1"/>
      <c r="L17" s="1"/>
      <c r="M17" s="1"/>
      <c r="N17" s="1"/>
      <c r="O17" s="1"/>
      <c r="P17" s="1"/>
      <c r="Q17" s="1"/>
      <c r="R17" s="1"/>
      <c r="S17" s="1"/>
      <c r="T17" s="1"/>
      <c r="U17" s="1"/>
      <c r="V17" s="1"/>
      <c r="W17" s="1"/>
      <c r="X17" s="1"/>
      <c r="Y17" s="1"/>
      <c r="Z17" s="1"/>
    </row>
    <row r="18" spans="1:26" x14ac:dyDescent="0.25">
      <c r="H18" s="1"/>
      <c r="I18" s="1"/>
      <c r="J18" s="1"/>
      <c r="K18" s="1"/>
      <c r="L18" s="1"/>
      <c r="M18" s="1"/>
      <c r="N18" s="1"/>
      <c r="O18" s="1"/>
      <c r="P18" s="1"/>
      <c r="Q18" s="1"/>
      <c r="R18" s="1"/>
      <c r="S18" s="1"/>
      <c r="T18" s="1"/>
      <c r="U18" s="1"/>
      <c r="V18" s="1"/>
      <c r="W18" s="1"/>
      <c r="X18" s="1"/>
      <c r="Y18" s="1"/>
      <c r="Z18" s="1"/>
    </row>
    <row r="19" spans="1:26" x14ac:dyDescent="0.25">
      <c r="H19" s="1"/>
      <c r="I19" s="1"/>
      <c r="J19" s="1"/>
      <c r="K19" s="1"/>
      <c r="L19" s="1"/>
      <c r="M19" s="1"/>
      <c r="N19" s="1"/>
      <c r="O19" s="1"/>
      <c r="P19" s="1"/>
      <c r="Q19" s="1"/>
      <c r="R19" s="1"/>
      <c r="S19" s="1"/>
      <c r="T19" s="1"/>
      <c r="U19" s="1"/>
      <c r="V19" s="1"/>
      <c r="W19" s="1"/>
      <c r="X19" s="1"/>
      <c r="Y19" s="1"/>
      <c r="Z19" s="1"/>
    </row>
    <row r="20" spans="1:26" x14ac:dyDescent="0.25">
      <c r="H20" s="1"/>
      <c r="I20" s="1"/>
      <c r="J20" s="1"/>
      <c r="K20" s="1"/>
      <c r="L20" s="1"/>
      <c r="M20" s="1"/>
      <c r="N20" s="1"/>
      <c r="O20" s="1"/>
      <c r="P20" s="1"/>
      <c r="Q20" s="1"/>
      <c r="R20" s="1"/>
      <c r="S20" s="1"/>
      <c r="T20" s="1"/>
      <c r="U20" s="1"/>
      <c r="V20" s="1"/>
      <c r="W20" s="1"/>
      <c r="X20" s="1"/>
      <c r="Y20" s="1"/>
      <c r="Z20" s="1"/>
    </row>
    <row r="21" spans="1:26" x14ac:dyDescent="0.25">
      <c r="H21" s="1"/>
      <c r="I21" s="1"/>
      <c r="J21" s="1"/>
      <c r="K21" s="1"/>
      <c r="L21" s="1"/>
      <c r="M21" s="1"/>
      <c r="N21" s="1"/>
      <c r="O21" s="1"/>
      <c r="P21" s="1"/>
      <c r="Q21" s="1"/>
      <c r="R21" s="1"/>
      <c r="S21" s="1"/>
      <c r="T21" s="1"/>
      <c r="U21" s="1"/>
      <c r="V21" s="1"/>
      <c r="W21" s="1"/>
      <c r="X21" s="1"/>
      <c r="Y21" s="1"/>
      <c r="Z21" s="1"/>
    </row>
    <row r="22" spans="1:26" x14ac:dyDescent="0.25">
      <c r="H22" s="1"/>
      <c r="I22" s="1"/>
      <c r="J22" s="1"/>
      <c r="K22" s="1"/>
      <c r="L22" s="1"/>
      <c r="M22" s="1"/>
      <c r="N22" s="1"/>
      <c r="O22" s="1"/>
      <c r="P22" s="1"/>
      <c r="Q22" s="1"/>
      <c r="R22" s="1"/>
      <c r="S22" s="1"/>
      <c r="T22" s="1"/>
      <c r="U22" s="1"/>
      <c r="V22" s="1"/>
      <c r="W22" s="1"/>
      <c r="X22" s="1"/>
      <c r="Y22" s="1"/>
      <c r="Z22" s="1"/>
    </row>
    <row r="23" spans="1:26" x14ac:dyDescent="0.25">
      <c r="H23" s="1"/>
      <c r="I23" s="1"/>
      <c r="J23" s="1"/>
      <c r="K23" s="1"/>
      <c r="L23" s="1"/>
      <c r="M23" s="1"/>
      <c r="N23" s="1"/>
      <c r="O23" s="1"/>
      <c r="P23" s="1"/>
      <c r="Q23" s="1"/>
      <c r="R23" s="1"/>
      <c r="S23" s="1"/>
      <c r="T23" s="1"/>
      <c r="U23" s="1"/>
      <c r="V23" s="1"/>
      <c r="W23" s="1"/>
      <c r="X23" s="1"/>
      <c r="Y23" s="1"/>
      <c r="Z23" s="1"/>
    </row>
    <row r="24" spans="1:26" x14ac:dyDescent="0.25">
      <c r="H24" s="1"/>
      <c r="I24" s="1"/>
      <c r="J24" s="1"/>
      <c r="K24" s="1"/>
      <c r="L24" s="1"/>
      <c r="M24" s="1"/>
      <c r="N24" s="1"/>
      <c r="O24" s="1"/>
      <c r="P24" s="1"/>
      <c r="Q24" s="1"/>
      <c r="R24" s="1"/>
      <c r="S24" s="1"/>
      <c r="T24" s="1"/>
      <c r="U24" s="1"/>
      <c r="V24" s="1"/>
      <c r="W24" s="1"/>
      <c r="X24" s="1"/>
      <c r="Y24" s="1"/>
      <c r="Z24" s="1"/>
    </row>
    <row r="25" spans="1:26" x14ac:dyDescent="0.25">
      <c r="H25" s="1"/>
      <c r="I25" s="1"/>
      <c r="J25" s="1"/>
      <c r="K25" s="1"/>
      <c r="L25" s="1"/>
      <c r="M25" s="1"/>
      <c r="N25" s="1"/>
      <c r="O25" s="1"/>
      <c r="P25" s="1"/>
      <c r="Q25" s="1"/>
      <c r="R25" s="1"/>
      <c r="S25" s="1"/>
      <c r="T25" s="1"/>
      <c r="U25" s="1"/>
      <c r="V25" s="1"/>
      <c r="W25" s="1"/>
      <c r="X25" s="1"/>
      <c r="Y25" s="1"/>
      <c r="Z25" s="1"/>
    </row>
    <row r="26" spans="1:26" x14ac:dyDescent="0.25">
      <c r="H26" s="1"/>
      <c r="I26" s="1"/>
      <c r="J26" s="1"/>
      <c r="K26" s="1"/>
      <c r="L26" s="1"/>
      <c r="M26" s="1"/>
      <c r="N26" s="1"/>
      <c r="O26" s="1"/>
      <c r="P26" s="1"/>
      <c r="Q26" s="1"/>
      <c r="R26" s="1"/>
      <c r="S26" s="1"/>
      <c r="T26" s="1"/>
      <c r="U26" s="1"/>
      <c r="V26" s="1"/>
      <c r="W26" s="1"/>
      <c r="X26" s="1"/>
      <c r="Y26" s="1"/>
      <c r="Z26" s="1"/>
    </row>
    <row r="27" spans="1:26" x14ac:dyDescent="0.25">
      <c r="H27" s="1"/>
      <c r="I27" s="1"/>
      <c r="J27" s="1"/>
      <c r="K27" s="1"/>
      <c r="L27" s="1"/>
      <c r="M27" s="1"/>
      <c r="N27" s="1"/>
      <c r="O27" s="1"/>
      <c r="P27" s="1"/>
      <c r="Q27" s="1"/>
      <c r="R27" s="1"/>
      <c r="S27" s="1"/>
      <c r="T27" s="1"/>
      <c r="U27" s="1"/>
      <c r="V27" s="1"/>
      <c r="W27" s="1"/>
      <c r="X27" s="1"/>
      <c r="Y27" s="1"/>
      <c r="Z27" s="1"/>
    </row>
    <row r="28" spans="1:26" x14ac:dyDescent="0.25">
      <c r="H28" s="1"/>
      <c r="I28" s="1"/>
      <c r="J28" s="1"/>
      <c r="K28" s="1"/>
      <c r="L28" s="1"/>
      <c r="M28" s="1"/>
      <c r="N28" s="1"/>
      <c r="O28" s="1"/>
      <c r="P28" s="1"/>
      <c r="Q28" s="1"/>
      <c r="R28" s="1"/>
      <c r="S28" s="1"/>
      <c r="T28" s="1"/>
      <c r="U28" s="1"/>
      <c r="V28" s="1"/>
      <c r="W28" s="1"/>
      <c r="X28" s="1"/>
      <c r="Y28" s="1"/>
      <c r="Z28" s="1"/>
    </row>
    <row r="29" spans="1:26" x14ac:dyDescent="0.25">
      <c r="H29" s="1"/>
      <c r="I29" s="1"/>
      <c r="J29" s="1"/>
      <c r="K29" s="1"/>
      <c r="L29" s="1"/>
      <c r="M29" s="1"/>
      <c r="N29" s="1"/>
      <c r="O29" s="1"/>
      <c r="P29" s="1"/>
      <c r="Q29" s="1"/>
      <c r="R29" s="1"/>
      <c r="S29" s="1"/>
      <c r="T29" s="1"/>
      <c r="U29" s="1"/>
      <c r="V29" s="1"/>
      <c r="W29" s="1"/>
      <c r="X29" s="1"/>
      <c r="Y29" s="1"/>
      <c r="Z29" s="1"/>
    </row>
    <row r="30" spans="1:26" x14ac:dyDescent="0.25">
      <c r="H30" s="1"/>
      <c r="I30" s="1"/>
      <c r="J30" s="1"/>
      <c r="K30" s="1"/>
      <c r="L30" s="1"/>
      <c r="M30" s="1"/>
      <c r="N30" s="1"/>
      <c r="O30" s="1"/>
      <c r="P30" s="1"/>
      <c r="Q30" s="1"/>
      <c r="R30" s="1"/>
      <c r="S30" s="1"/>
      <c r="T30" s="1"/>
      <c r="U30" s="1"/>
      <c r="V30" s="1"/>
      <c r="W30" s="1"/>
      <c r="X30" s="1"/>
      <c r="Y30" s="1"/>
      <c r="Z30" s="1"/>
    </row>
    <row r="31" spans="1:26" x14ac:dyDescent="0.25">
      <c r="H31" s="1"/>
      <c r="I31" s="1"/>
      <c r="J31" s="1"/>
      <c r="K31" s="1"/>
      <c r="L31" s="1"/>
      <c r="M31" s="1"/>
      <c r="N31" s="1"/>
      <c r="O31" s="1"/>
      <c r="P31" s="1"/>
      <c r="Q31" s="1"/>
      <c r="R31" s="1"/>
      <c r="S31" s="1"/>
      <c r="T31" s="1"/>
      <c r="U31" s="1"/>
      <c r="V31" s="1"/>
      <c r="W31" s="1"/>
      <c r="X31" s="1"/>
      <c r="Y31" s="1"/>
      <c r="Z31" s="1"/>
    </row>
    <row r="32" spans="1:26" x14ac:dyDescent="0.25">
      <c r="A32" s="54"/>
      <c r="B32" s="54"/>
      <c r="C32" s="54"/>
      <c r="D32" s="54"/>
      <c r="E32" s="54"/>
      <c r="F32" s="54"/>
      <c r="G32" s="54"/>
    </row>
  </sheetData>
  <mergeCells count="1">
    <mergeCell ref="A32:G32"/>
  </mergeCells>
  <phoneticPr fontId="1" type="noConversion"/>
  <conditionalFormatting sqref="K2:K31">
    <cfRule type="colorScale" priority="4">
      <colorScale>
        <cfvo type="min"/>
        <cfvo type="percentile" val="50"/>
        <cfvo type="max"/>
        <color rgb="FFF8696B"/>
        <color rgb="FFFFEB84"/>
        <color rgb="FF63BE7B"/>
      </colorScale>
    </cfRule>
  </conditionalFormatting>
  <conditionalFormatting sqref="J2:J31">
    <cfRule type="colorScale" priority="3">
      <colorScale>
        <cfvo type="min"/>
        <cfvo type="percentile" val="50"/>
        <cfvo type="max"/>
        <color rgb="FFF8696B"/>
        <color rgb="FFFFEB84"/>
        <color rgb="FF63BE7B"/>
      </colorScale>
    </cfRule>
  </conditionalFormatting>
  <conditionalFormatting sqref="I2:I31">
    <cfRule type="colorScale" priority="2">
      <colorScale>
        <cfvo type="min"/>
        <cfvo type="percentile" val="50"/>
        <cfvo type="max"/>
        <color rgb="FFF8696B"/>
        <color rgb="FFFFEB84"/>
        <color rgb="FF63BE7B"/>
      </colorScale>
    </cfRule>
  </conditionalFormatting>
  <conditionalFormatting sqref="H2:H3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80B60D88-6658-4901-BC3C-1C7F4DB968FE}">
          <x14:formula1>
            <xm:f>Contents!$A$2:$A$18</xm:f>
          </x14:formula1>
          <xm:sqref>D2:F31</xm:sqref>
        </x14:dataValidation>
        <x14:dataValidation type="list" allowBlank="1" showInputMessage="1" showErrorMessage="1" xr:uid="{A7850AD1-2635-45BF-AA14-E2C57C2DD796}">
          <x14:formula1>
            <xm:f>Contents!$C$2:$C$8</xm:f>
          </x14:formula1>
          <xm:sqref>G2:G31</xm:sqref>
        </x14:dataValidation>
        <x14:dataValidation type="list" allowBlank="1" showInputMessage="1" showErrorMessage="1" xr:uid="{6946538A-90D7-478A-9FA3-506ABA0A886B}">
          <x14:formula1>
            <xm:f>Contents!$D$2:$D$28</xm:f>
          </x14:formula1>
          <xm:sqref>B2:B31</xm:sqref>
        </x14:dataValidation>
        <x14:dataValidation type="list" allowBlank="1" showInputMessage="1" showErrorMessage="1" xr:uid="{C1459A58-0727-4607-A6B1-B88CB651E186}">
          <x14:formula1>
            <xm:f>Contents!$J$2:$J$88</xm:f>
          </x14:formula1>
          <xm:sqref>L2:M31</xm:sqref>
        </x14:dataValidation>
        <x14:dataValidation type="list" allowBlank="1" showInputMessage="1" showErrorMessage="1" xr:uid="{50393EBD-6865-45F8-874D-11628D4A799D}">
          <x14:formula1>
            <xm:f>Contents!$I$2:$I$4</xm:f>
          </x14:formula1>
          <xm:sqref>Y2:Y31</xm:sqref>
        </x14:dataValidation>
        <x14:dataValidation type="list" allowBlank="1" showInputMessage="1" showErrorMessage="1" xr:uid="{200A2D76-8A6A-4B57-9281-072D8A009A25}">
          <x14:formula1>
            <xm:f>Contents!$G$2:$G$9</xm:f>
          </x14:formula1>
          <xm:sqref>X2:X31</xm:sqref>
        </x14:dataValidation>
        <x14:dataValidation type="list" allowBlank="1" showInputMessage="1" showErrorMessage="1" xr:uid="{01275CAA-8CF0-4C33-B207-01874905A921}">
          <x14:formula1>
            <xm:f>Contents!$L$2:$L$21</xm:f>
          </x14:formula1>
          <xm:sqref>S2:U31</xm:sqref>
        </x14:dataValidation>
        <x14:dataValidation type="list" allowBlank="1" showInputMessage="1" showErrorMessage="1" xr:uid="{FA22AC98-9443-4EF9-9551-A55223C2717D}">
          <x14:formula1>
            <xm:f>Contents!$K$2:$K$59</xm:f>
          </x14:formula1>
          <xm:sqref>N2:R7 N9:R31 R8 N8:O8</xm:sqref>
        </x14:dataValidation>
        <x14:dataValidation type="list" allowBlank="1" showInputMessage="1" showErrorMessage="1" xr:uid="{D69FFD12-D1F6-4758-987C-F74CB9831A58}">
          <x14:formula1>
            <xm:f>Contents!$M$2:$M$17</xm:f>
          </x14:formula1>
          <xm:sqref>V2:V31</xm:sqref>
        </x14:dataValidation>
        <x14:dataValidation type="list" allowBlank="1" showInputMessage="1" showErrorMessage="1" xr:uid="{92D25C75-5FBD-4A77-B227-A1A695575D3A}">
          <x14:formula1>
            <xm:f>Contents!$H$2:$H$22</xm:f>
          </x14:formula1>
          <xm:sqref>W2:W31</xm:sqref>
        </x14:dataValidation>
        <x14:dataValidation type="list" allowBlank="1" showInputMessage="1" showErrorMessage="1" xr:uid="{51E25B78-0268-475B-AA1D-C1124C5B7B7D}">
          <x14:formula1>
            <xm:f>Contents!$N$2:$N$5</xm:f>
          </x14:formula1>
          <xm:sqref>Z2:Z31</xm:sqref>
        </x14:dataValidation>
        <x14:dataValidation type="list" allowBlank="1" showInputMessage="1" showErrorMessage="1" xr:uid="{844D589F-12B9-4FA7-87AE-956AE90AF9EA}">
          <x14:formula1>
            <xm:f>Contents!$F$2:$F$14</xm:f>
          </x14:formula1>
          <xm:sqref>C2:C31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0A95A-D4A3-4C02-B126-7738A89021DC}">
  <sheetPr codeName="Sheet13">
    <tabColor theme="9"/>
  </sheetPr>
  <dimension ref="A1:Z32"/>
  <sheetViews>
    <sheetView topLeftCell="V1" workbookViewId="0">
      <selection activeCell="Z1" sqref="Z1"/>
    </sheetView>
  </sheetViews>
  <sheetFormatPr defaultRowHeight="15" x14ac:dyDescent="0.25"/>
  <cols>
    <col min="3" max="3" width="19.85546875" bestFit="1" customWidth="1"/>
    <col min="12" max="12" width="17.140625" bestFit="1" customWidth="1"/>
    <col min="23" max="23" width="22.140625" bestFit="1" customWidth="1"/>
    <col min="24" max="24" width="17.5703125" bestFit="1" customWidth="1"/>
    <col min="25" max="25" width="15.710937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329</v>
      </c>
      <c r="V1" s="1" t="s">
        <v>276</v>
      </c>
      <c r="W1" s="1" t="s">
        <v>106</v>
      </c>
      <c r="X1" s="1" t="s">
        <v>107</v>
      </c>
      <c r="Y1" s="1" t="s">
        <v>108</v>
      </c>
      <c r="Z1" s="1" t="s">
        <v>421</v>
      </c>
    </row>
    <row r="2" spans="1:26" x14ac:dyDescent="0.25">
      <c r="H2" s="1"/>
      <c r="I2" s="1"/>
      <c r="J2" s="1"/>
      <c r="K2" s="1"/>
      <c r="L2" s="1"/>
      <c r="M2" s="1"/>
      <c r="N2" s="1"/>
      <c r="O2" s="1"/>
      <c r="P2" s="1"/>
      <c r="Q2" s="1"/>
      <c r="R2" s="1"/>
      <c r="S2" s="1"/>
      <c r="T2" s="1"/>
      <c r="U2" s="1"/>
      <c r="V2" s="1"/>
      <c r="W2" s="1"/>
      <c r="X2" s="1"/>
      <c r="Y2" s="1"/>
      <c r="Z2" s="1"/>
    </row>
    <row r="3" spans="1:26" x14ac:dyDescent="0.25">
      <c r="H3" s="1"/>
      <c r="I3" s="1"/>
      <c r="J3" s="1"/>
      <c r="K3" s="1"/>
      <c r="L3" s="1"/>
      <c r="M3" s="1"/>
      <c r="N3" s="1"/>
      <c r="O3" s="1"/>
      <c r="P3" s="1"/>
      <c r="Q3" s="1"/>
      <c r="R3" s="1"/>
      <c r="S3" s="1"/>
      <c r="T3" s="1"/>
      <c r="U3" s="1"/>
      <c r="V3" s="1"/>
      <c r="W3" s="1"/>
      <c r="X3" s="1"/>
      <c r="Y3" s="1"/>
      <c r="Z3" s="1"/>
    </row>
    <row r="4" spans="1:26" x14ac:dyDescent="0.25">
      <c r="H4" s="1"/>
      <c r="I4" s="1"/>
      <c r="J4" s="1"/>
      <c r="K4" s="1"/>
      <c r="L4" s="1"/>
      <c r="M4" s="1"/>
      <c r="N4" s="1"/>
      <c r="O4" s="1"/>
      <c r="P4" s="1"/>
      <c r="Q4" s="1"/>
      <c r="R4" s="1"/>
      <c r="S4" s="1"/>
      <c r="T4" s="1"/>
      <c r="U4" s="1"/>
      <c r="V4" s="1"/>
      <c r="W4" s="1"/>
      <c r="X4" s="1"/>
      <c r="Y4" s="1"/>
      <c r="Z4" s="1"/>
    </row>
    <row r="5" spans="1:26" x14ac:dyDescent="0.25">
      <c r="H5" s="1"/>
      <c r="I5" s="1"/>
      <c r="J5" s="1"/>
      <c r="K5" s="1"/>
      <c r="L5" s="1"/>
      <c r="M5" s="1"/>
      <c r="N5" s="1"/>
      <c r="O5" s="1"/>
      <c r="P5" s="1"/>
      <c r="Q5" s="1"/>
      <c r="R5" s="1"/>
      <c r="S5" s="1"/>
      <c r="T5" s="1"/>
      <c r="U5" s="1"/>
      <c r="V5" s="1"/>
      <c r="W5" s="1"/>
      <c r="X5" s="1"/>
      <c r="Y5" s="1"/>
      <c r="Z5" s="1"/>
    </row>
    <row r="6" spans="1:26" x14ac:dyDescent="0.25">
      <c r="H6" s="1"/>
      <c r="I6" s="1"/>
      <c r="J6" s="1"/>
      <c r="K6" s="1"/>
      <c r="L6" s="1"/>
      <c r="M6" s="1"/>
      <c r="N6" s="1"/>
      <c r="O6" s="1"/>
      <c r="P6" s="1"/>
      <c r="Q6" s="1"/>
      <c r="R6" s="1"/>
      <c r="S6" s="1"/>
      <c r="T6" s="1"/>
      <c r="U6" s="1"/>
      <c r="V6" s="1"/>
      <c r="W6" s="1"/>
      <c r="X6" s="1"/>
      <c r="Y6" s="1"/>
      <c r="Z6" s="1"/>
    </row>
    <row r="7" spans="1:26" x14ac:dyDescent="0.25">
      <c r="H7" s="1"/>
      <c r="I7" s="1"/>
      <c r="J7" s="1"/>
      <c r="K7" s="1"/>
      <c r="L7" s="1"/>
      <c r="M7" s="1"/>
      <c r="N7" s="1"/>
      <c r="O7" s="1"/>
      <c r="P7" s="1"/>
      <c r="Q7" s="1"/>
      <c r="R7" s="1"/>
      <c r="S7" s="1"/>
      <c r="T7" s="1"/>
      <c r="U7" s="1"/>
      <c r="V7" s="1"/>
      <c r="W7" s="1"/>
      <c r="X7" s="1"/>
      <c r="Y7" s="1"/>
      <c r="Z7" s="1"/>
    </row>
    <row r="8" spans="1:26" x14ac:dyDescent="0.25">
      <c r="H8" s="1"/>
      <c r="I8" s="1"/>
      <c r="J8" s="1"/>
      <c r="K8" s="1"/>
      <c r="L8" s="1"/>
      <c r="M8" s="1"/>
      <c r="N8" s="1"/>
      <c r="O8" s="1"/>
      <c r="P8" s="1"/>
      <c r="Q8" s="1"/>
      <c r="R8" s="1"/>
      <c r="S8" s="1"/>
      <c r="T8" s="1"/>
      <c r="U8" s="1"/>
      <c r="V8" s="1"/>
      <c r="W8" s="1"/>
      <c r="X8" s="1"/>
      <c r="Y8" s="1"/>
      <c r="Z8" s="1"/>
    </row>
    <row r="9" spans="1:26" x14ac:dyDescent="0.25">
      <c r="H9" s="1"/>
      <c r="I9" s="1"/>
      <c r="J9" s="1"/>
      <c r="K9" s="1"/>
      <c r="L9" s="1"/>
      <c r="M9" s="1"/>
      <c r="N9" s="1"/>
      <c r="O9" s="1"/>
      <c r="P9" s="1"/>
      <c r="Q9" s="1"/>
      <c r="R9" s="1"/>
      <c r="S9" s="1"/>
      <c r="T9" s="1"/>
      <c r="U9" s="1"/>
      <c r="V9" s="1"/>
      <c r="W9" s="1"/>
      <c r="X9" s="1"/>
      <c r="Y9" s="1"/>
      <c r="Z9" s="1"/>
    </row>
    <row r="10" spans="1:26" x14ac:dyDescent="0.25">
      <c r="H10" s="1"/>
      <c r="I10" s="1"/>
      <c r="J10" s="1"/>
      <c r="K10" s="1"/>
      <c r="L10" s="1"/>
      <c r="M10" s="1"/>
      <c r="N10" s="1"/>
      <c r="O10" s="1"/>
      <c r="P10" s="1"/>
      <c r="Q10" s="1"/>
      <c r="R10" s="1"/>
      <c r="S10" s="1"/>
      <c r="T10" s="1"/>
      <c r="U10" s="1"/>
      <c r="V10" s="1"/>
      <c r="W10" s="1"/>
      <c r="X10" s="1"/>
      <c r="Y10" s="1"/>
      <c r="Z10" s="1"/>
    </row>
    <row r="11" spans="1:26" x14ac:dyDescent="0.25">
      <c r="H11" s="1"/>
      <c r="I11" s="1"/>
      <c r="J11" s="1"/>
      <c r="K11" s="1"/>
      <c r="L11" s="1"/>
      <c r="M11" s="1"/>
      <c r="N11" s="1"/>
      <c r="O11" s="1"/>
      <c r="P11" s="1"/>
      <c r="Q11" s="1"/>
      <c r="R11" s="1"/>
      <c r="S11" s="1"/>
      <c r="T11" s="1"/>
      <c r="U11" s="1"/>
      <c r="V11" s="1"/>
      <c r="W11" s="1"/>
      <c r="X11" s="1"/>
      <c r="Y11" s="1"/>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1:26" x14ac:dyDescent="0.25">
      <c r="H17" s="1"/>
      <c r="I17" s="1"/>
      <c r="J17" s="1"/>
      <c r="K17" s="1"/>
      <c r="L17" s="1"/>
      <c r="M17" s="1"/>
      <c r="N17" s="1"/>
      <c r="O17" s="1"/>
      <c r="P17" s="1"/>
      <c r="Q17" s="1"/>
      <c r="R17" s="1"/>
      <c r="S17" s="1"/>
      <c r="T17" s="1"/>
      <c r="U17" s="1"/>
      <c r="V17" s="1"/>
      <c r="W17" s="1"/>
      <c r="X17" s="1"/>
      <c r="Y17" s="1"/>
      <c r="Z17" s="1"/>
    </row>
    <row r="18" spans="1:26" x14ac:dyDescent="0.25">
      <c r="H18" s="1"/>
      <c r="I18" s="1"/>
      <c r="J18" s="1"/>
      <c r="K18" s="1"/>
      <c r="L18" s="1"/>
      <c r="M18" s="1"/>
      <c r="N18" s="1"/>
      <c r="O18" s="1"/>
      <c r="P18" s="1"/>
      <c r="Q18" s="1"/>
      <c r="R18" s="1"/>
      <c r="S18" s="1"/>
      <c r="T18" s="1"/>
      <c r="U18" s="1"/>
      <c r="V18" s="1"/>
      <c r="W18" s="1"/>
      <c r="X18" s="1"/>
      <c r="Y18" s="1"/>
      <c r="Z18" s="1"/>
    </row>
    <row r="19" spans="1:26" x14ac:dyDescent="0.25">
      <c r="H19" s="1"/>
      <c r="I19" s="1"/>
      <c r="J19" s="1"/>
      <c r="K19" s="1"/>
      <c r="L19" s="1"/>
      <c r="M19" s="1"/>
      <c r="N19" s="1"/>
      <c r="O19" s="1"/>
      <c r="P19" s="1"/>
      <c r="Q19" s="1"/>
      <c r="R19" s="1"/>
      <c r="S19" s="1"/>
      <c r="T19" s="1"/>
      <c r="U19" s="1"/>
      <c r="V19" s="1"/>
      <c r="W19" s="1"/>
      <c r="X19" s="1"/>
      <c r="Y19" s="1"/>
      <c r="Z19" s="1"/>
    </row>
    <row r="20" spans="1:26" x14ac:dyDescent="0.25">
      <c r="H20" s="1"/>
      <c r="I20" s="1"/>
      <c r="J20" s="1"/>
      <c r="K20" s="1"/>
      <c r="L20" s="1"/>
      <c r="M20" s="1"/>
      <c r="N20" s="1"/>
      <c r="O20" s="1"/>
      <c r="P20" s="1"/>
      <c r="Q20" s="1"/>
      <c r="R20" s="1"/>
      <c r="S20" s="1"/>
      <c r="T20" s="1"/>
      <c r="U20" s="1"/>
      <c r="V20" s="1"/>
      <c r="W20" s="1"/>
      <c r="X20" s="1"/>
      <c r="Y20" s="1"/>
      <c r="Z20" s="1"/>
    </row>
    <row r="21" spans="1:26" x14ac:dyDescent="0.25">
      <c r="H21" s="1"/>
      <c r="I21" s="1"/>
      <c r="J21" s="1"/>
      <c r="K21" s="1"/>
      <c r="L21" s="1"/>
      <c r="M21" s="1"/>
      <c r="N21" s="1"/>
      <c r="O21" s="1"/>
      <c r="P21" s="1"/>
      <c r="Q21" s="1"/>
      <c r="R21" s="1"/>
      <c r="S21" s="1"/>
      <c r="T21" s="1"/>
      <c r="U21" s="1"/>
      <c r="V21" s="1"/>
      <c r="W21" s="1"/>
      <c r="X21" s="1"/>
      <c r="Y21" s="1"/>
      <c r="Z21" s="1"/>
    </row>
    <row r="22" spans="1:26" x14ac:dyDescent="0.25">
      <c r="H22" s="1"/>
      <c r="I22" s="1"/>
      <c r="J22" s="1"/>
      <c r="K22" s="1"/>
      <c r="L22" s="1"/>
      <c r="M22" s="1"/>
      <c r="N22" s="1"/>
      <c r="O22" s="1"/>
      <c r="P22" s="1"/>
      <c r="Q22" s="1"/>
      <c r="R22" s="1"/>
      <c r="S22" s="1"/>
      <c r="T22" s="1"/>
      <c r="U22" s="1"/>
      <c r="V22" s="1"/>
      <c r="W22" s="1"/>
      <c r="X22" s="1"/>
      <c r="Y22" s="1"/>
      <c r="Z22" s="1"/>
    </row>
    <row r="23" spans="1:26" x14ac:dyDescent="0.25">
      <c r="H23" s="1"/>
      <c r="I23" s="1"/>
      <c r="J23" s="1"/>
      <c r="K23" s="1"/>
      <c r="L23" s="1"/>
      <c r="M23" s="1"/>
      <c r="N23" s="1"/>
      <c r="O23" s="1"/>
      <c r="P23" s="1"/>
      <c r="Q23" s="1"/>
      <c r="R23" s="1"/>
      <c r="S23" s="1"/>
      <c r="T23" s="1"/>
      <c r="U23" s="1"/>
      <c r="V23" s="1"/>
      <c r="W23" s="1"/>
      <c r="X23" s="1"/>
      <c r="Y23" s="1"/>
      <c r="Z23" s="1"/>
    </row>
    <row r="24" spans="1:26" x14ac:dyDescent="0.25">
      <c r="H24" s="1"/>
      <c r="I24" s="1"/>
      <c r="J24" s="1"/>
      <c r="K24" s="1"/>
      <c r="L24" s="1"/>
      <c r="M24" s="1"/>
      <c r="N24" s="1"/>
      <c r="O24" s="1"/>
      <c r="P24" s="1"/>
      <c r="Q24" s="1"/>
      <c r="R24" s="1"/>
      <c r="S24" s="1"/>
      <c r="T24" s="1"/>
      <c r="U24" s="1"/>
      <c r="V24" s="1"/>
      <c r="W24" s="1"/>
      <c r="X24" s="1"/>
      <c r="Y24" s="1"/>
      <c r="Z24" s="1"/>
    </row>
    <row r="25" spans="1:26" x14ac:dyDescent="0.25">
      <c r="H25" s="1"/>
      <c r="I25" s="1"/>
      <c r="J25" s="1"/>
      <c r="K25" s="1"/>
      <c r="L25" s="1"/>
      <c r="M25" s="1"/>
      <c r="N25" s="1"/>
      <c r="O25" s="1"/>
      <c r="P25" s="1"/>
      <c r="Q25" s="1"/>
      <c r="R25" s="1"/>
      <c r="S25" s="1"/>
      <c r="T25" s="1"/>
      <c r="U25" s="1"/>
      <c r="V25" s="1"/>
      <c r="W25" s="1"/>
      <c r="X25" s="1"/>
      <c r="Y25" s="1"/>
      <c r="Z25" s="1"/>
    </row>
    <row r="26" spans="1:26" x14ac:dyDescent="0.25">
      <c r="H26" s="1"/>
      <c r="I26" s="1"/>
      <c r="J26" s="1"/>
      <c r="K26" s="1"/>
      <c r="L26" s="1"/>
      <c r="M26" s="1"/>
      <c r="N26" s="1"/>
      <c r="O26" s="1"/>
      <c r="P26" s="1"/>
      <c r="Q26" s="1"/>
      <c r="R26" s="1"/>
      <c r="S26" s="1"/>
      <c r="T26" s="1"/>
      <c r="U26" s="1"/>
      <c r="V26" s="1"/>
      <c r="W26" s="1"/>
      <c r="X26" s="1"/>
      <c r="Y26" s="1"/>
      <c r="Z26" s="1"/>
    </row>
    <row r="27" spans="1:26" x14ac:dyDescent="0.25">
      <c r="H27" s="1"/>
      <c r="I27" s="1"/>
      <c r="J27" s="1"/>
      <c r="K27" s="1"/>
      <c r="L27" s="1"/>
      <c r="M27" s="1"/>
      <c r="N27" s="1"/>
      <c r="O27" s="1"/>
      <c r="P27" s="1"/>
      <c r="Q27" s="1"/>
      <c r="R27" s="1"/>
      <c r="S27" s="1"/>
      <c r="T27" s="1"/>
      <c r="U27" s="1"/>
      <c r="V27" s="1"/>
      <c r="W27" s="1"/>
      <c r="X27" s="1"/>
      <c r="Y27" s="1"/>
      <c r="Z27" s="1"/>
    </row>
    <row r="28" spans="1:26" x14ac:dyDescent="0.25">
      <c r="H28" s="1"/>
      <c r="I28" s="1"/>
      <c r="J28" s="1"/>
      <c r="K28" s="1"/>
      <c r="L28" s="1"/>
      <c r="M28" s="1"/>
      <c r="N28" s="1"/>
      <c r="O28" s="1"/>
      <c r="P28" s="1"/>
      <c r="Q28" s="1"/>
      <c r="R28" s="1"/>
      <c r="S28" s="1"/>
      <c r="T28" s="1"/>
      <c r="U28" s="1"/>
      <c r="V28" s="1"/>
      <c r="W28" s="1"/>
      <c r="X28" s="1"/>
      <c r="Y28" s="1"/>
      <c r="Z28" s="1"/>
    </row>
    <row r="29" spans="1:26" x14ac:dyDescent="0.25">
      <c r="H29" s="1"/>
      <c r="I29" s="1"/>
      <c r="J29" s="1"/>
      <c r="K29" s="1"/>
      <c r="L29" s="1"/>
      <c r="M29" s="1"/>
      <c r="N29" s="1"/>
      <c r="O29" s="1"/>
      <c r="P29" s="1"/>
      <c r="Q29" s="1"/>
      <c r="R29" s="1"/>
      <c r="S29" s="1"/>
      <c r="T29" s="1"/>
      <c r="U29" s="1"/>
      <c r="V29" s="1"/>
      <c r="W29" s="1"/>
      <c r="X29" s="1"/>
      <c r="Y29" s="1"/>
      <c r="Z29" s="1"/>
    </row>
    <row r="30" spans="1:26" x14ac:dyDescent="0.25">
      <c r="H30" s="1"/>
      <c r="I30" s="1"/>
      <c r="J30" s="1"/>
      <c r="K30" s="1"/>
      <c r="L30" s="1"/>
      <c r="M30" s="1"/>
      <c r="N30" s="1"/>
      <c r="O30" s="1"/>
      <c r="P30" s="1"/>
      <c r="Q30" s="1"/>
      <c r="R30" s="1"/>
      <c r="S30" s="1"/>
      <c r="T30" s="1"/>
      <c r="U30" s="1"/>
      <c r="V30" s="1"/>
      <c r="W30" s="1"/>
      <c r="X30" s="1"/>
      <c r="Y30" s="1"/>
      <c r="Z30" s="1"/>
    </row>
    <row r="31" spans="1:26" x14ac:dyDescent="0.25">
      <c r="H31" s="1"/>
      <c r="I31" s="1"/>
      <c r="J31" s="1"/>
      <c r="K31" s="1"/>
      <c r="L31" s="1"/>
      <c r="M31" s="1"/>
      <c r="N31" s="1"/>
      <c r="O31" s="1"/>
      <c r="P31" s="1"/>
      <c r="Q31" s="1"/>
      <c r="R31" s="1"/>
      <c r="S31" s="1"/>
      <c r="T31" s="1"/>
      <c r="U31" s="1"/>
      <c r="V31" s="1"/>
      <c r="W31" s="1"/>
      <c r="X31" s="1"/>
      <c r="Y31" s="1"/>
      <c r="Z31" s="1"/>
    </row>
    <row r="32" spans="1:26" x14ac:dyDescent="0.25">
      <c r="A32" s="54"/>
      <c r="B32" s="54"/>
      <c r="C32" s="54"/>
      <c r="D32" s="54"/>
      <c r="E32" s="54"/>
      <c r="F32" s="54"/>
      <c r="G32" s="54"/>
    </row>
  </sheetData>
  <mergeCells count="1">
    <mergeCell ref="A32:G32"/>
  </mergeCells>
  <phoneticPr fontId="1" type="noConversion"/>
  <conditionalFormatting sqref="K2:K31">
    <cfRule type="colorScale" priority="4">
      <colorScale>
        <cfvo type="min"/>
        <cfvo type="percentile" val="50"/>
        <cfvo type="max"/>
        <color rgb="FFF8696B"/>
        <color rgb="FFFFEB84"/>
        <color rgb="FF63BE7B"/>
      </colorScale>
    </cfRule>
  </conditionalFormatting>
  <conditionalFormatting sqref="J2:J31">
    <cfRule type="colorScale" priority="3">
      <colorScale>
        <cfvo type="min"/>
        <cfvo type="percentile" val="50"/>
        <cfvo type="max"/>
        <color rgb="FFF8696B"/>
        <color rgb="FFFFEB84"/>
        <color rgb="FF63BE7B"/>
      </colorScale>
    </cfRule>
  </conditionalFormatting>
  <conditionalFormatting sqref="I2:I31">
    <cfRule type="colorScale" priority="2">
      <colorScale>
        <cfvo type="min"/>
        <cfvo type="percentile" val="50"/>
        <cfvo type="max"/>
        <color rgb="FFF8696B"/>
        <color rgb="FFFFEB84"/>
        <color rgb="FF63BE7B"/>
      </colorScale>
    </cfRule>
  </conditionalFormatting>
  <conditionalFormatting sqref="H2:H3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54D1F1DC-E40D-431C-BE0A-CC6FB7716152}">
          <x14:formula1>
            <xm:f>Contents!$A$2:$A$18</xm:f>
          </x14:formula1>
          <xm:sqref>D2:F31</xm:sqref>
        </x14:dataValidation>
        <x14:dataValidation type="list" allowBlank="1" showInputMessage="1" showErrorMessage="1" xr:uid="{034B5943-2589-42BC-8526-C080F53A3DB8}">
          <x14:formula1>
            <xm:f>Contents!$C$2:$C$8</xm:f>
          </x14:formula1>
          <xm:sqref>G2:G31</xm:sqref>
        </x14:dataValidation>
        <x14:dataValidation type="list" allowBlank="1" showInputMessage="1" showErrorMessage="1" xr:uid="{5A1E47BB-6BF1-4BAF-B9C9-A6419C022CD7}">
          <x14:formula1>
            <xm:f>Contents!$D$2:$D$28</xm:f>
          </x14:formula1>
          <xm:sqref>B2:B31</xm:sqref>
        </x14:dataValidation>
        <x14:dataValidation type="list" allowBlank="1" showInputMessage="1" showErrorMessage="1" xr:uid="{5C71D3A0-3AB1-413C-86C5-1ED139C75817}">
          <x14:formula1>
            <xm:f>Contents!$J$2:$J$88</xm:f>
          </x14:formula1>
          <xm:sqref>L2:M31</xm:sqref>
        </x14:dataValidation>
        <x14:dataValidation type="list" allowBlank="1" showInputMessage="1" showErrorMessage="1" xr:uid="{D7805BAE-EFC1-4772-9EA6-A61F407DA247}">
          <x14:formula1>
            <xm:f>Contents!$I$2:$I$4</xm:f>
          </x14:formula1>
          <xm:sqref>Y2:Y31</xm:sqref>
        </x14:dataValidation>
        <x14:dataValidation type="list" allowBlank="1" showInputMessage="1" showErrorMessage="1" xr:uid="{AD6165D7-DED5-4E79-96F8-DB9F6B4C3999}">
          <x14:formula1>
            <xm:f>Contents!$G$2:$G$9</xm:f>
          </x14:formula1>
          <xm:sqref>X2:X31</xm:sqref>
        </x14:dataValidation>
        <x14:dataValidation type="list" allowBlank="1" showInputMessage="1" showErrorMessage="1" xr:uid="{660A0043-50FA-4721-90F5-F523D3707222}">
          <x14:formula1>
            <xm:f>Contents!$L$2:$L$21</xm:f>
          </x14:formula1>
          <xm:sqref>S2:U31</xm:sqref>
        </x14:dataValidation>
        <x14:dataValidation type="list" allowBlank="1" showInputMessage="1" showErrorMessage="1" xr:uid="{8A3135A8-60BF-430A-BC42-02265EA814BF}">
          <x14:formula1>
            <xm:f>Contents!$K$2:$K$59</xm:f>
          </x14:formula1>
          <xm:sqref>N2:R7 N9:R31 R8 N8:O8</xm:sqref>
        </x14:dataValidation>
        <x14:dataValidation type="list" allowBlank="1" showInputMessage="1" showErrorMessage="1" xr:uid="{FA7A9572-385E-4920-9CFE-3612C054F4A9}">
          <x14:formula1>
            <xm:f>Contents!$M$2:$M$17</xm:f>
          </x14:formula1>
          <xm:sqref>V2:V31</xm:sqref>
        </x14:dataValidation>
        <x14:dataValidation type="list" allowBlank="1" showInputMessage="1" showErrorMessage="1" xr:uid="{837B7A66-7689-41CA-A2D9-2F0330051888}">
          <x14:formula1>
            <xm:f>Contents!$H$2:$H$22</xm:f>
          </x14:formula1>
          <xm:sqref>W2:W31</xm:sqref>
        </x14:dataValidation>
        <x14:dataValidation type="list" allowBlank="1" showInputMessage="1" showErrorMessage="1" xr:uid="{05411AFE-BEE0-4F3F-8B9E-48E916202EC3}">
          <x14:formula1>
            <xm:f>Contents!$N$2:$N$5</xm:f>
          </x14:formula1>
          <xm:sqref>Z2:Z31</xm:sqref>
        </x14:dataValidation>
        <x14:dataValidation type="list" allowBlank="1" showInputMessage="1" showErrorMessage="1" xr:uid="{62756EF8-48ED-4994-BC73-50473F7E37B2}">
          <x14:formula1>
            <xm:f>Contents!$F$2:$F$14</xm:f>
          </x14:formula1>
          <xm:sqref>C2:C31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E6DD4-E661-48E4-BB48-53FD1AC003E0}">
  <sheetPr codeName="Sheet2">
    <tabColor theme="4" tint="0.59999389629810485"/>
  </sheetPr>
  <dimension ref="A1:Q73"/>
  <sheetViews>
    <sheetView zoomScale="70" zoomScaleNormal="70" workbookViewId="0">
      <selection activeCell="O5" sqref="O5"/>
    </sheetView>
  </sheetViews>
  <sheetFormatPr defaultRowHeight="15" x14ac:dyDescent="0.25"/>
  <cols>
    <col min="1" max="1" width="42.42578125" bestFit="1" customWidth="1"/>
    <col min="2" max="2" width="23.42578125" bestFit="1" customWidth="1"/>
    <col min="3" max="3" width="20.140625" bestFit="1" customWidth="1"/>
    <col min="4" max="4" width="22.85546875" bestFit="1" customWidth="1"/>
    <col min="5" max="5" width="23.42578125" bestFit="1" customWidth="1"/>
    <col min="6" max="6" width="25.85546875" bestFit="1" customWidth="1"/>
    <col min="7" max="7" width="20.85546875" bestFit="1" customWidth="1"/>
    <col min="8" max="8" width="20.5703125" bestFit="1" customWidth="1"/>
    <col min="9" max="9" width="21.7109375" bestFit="1" customWidth="1"/>
    <col min="10" max="10" width="23.42578125" bestFit="1" customWidth="1"/>
    <col min="11" max="11" width="26.85546875" bestFit="1" customWidth="1"/>
    <col min="12" max="12" width="21.5703125" bestFit="1" customWidth="1"/>
    <col min="13" max="13" width="34" bestFit="1" customWidth="1"/>
    <col min="14" max="14" width="11" bestFit="1" customWidth="1"/>
    <col min="15" max="15" width="9.85546875" bestFit="1" customWidth="1"/>
    <col min="17" max="17" width="61.28515625" bestFit="1" customWidth="1"/>
  </cols>
  <sheetData>
    <row r="1" spans="1:17" ht="16.5" thickTop="1" thickBot="1" x14ac:dyDescent="0.3">
      <c r="A1" s="11" t="s">
        <v>82</v>
      </c>
      <c r="B1" s="3" t="s">
        <v>83</v>
      </c>
      <c r="C1" s="3" t="s">
        <v>59</v>
      </c>
      <c r="D1" s="3" t="s">
        <v>60</v>
      </c>
      <c r="E1" s="3" t="s">
        <v>61</v>
      </c>
      <c r="F1" s="3" t="s">
        <v>62</v>
      </c>
      <c r="G1" s="3" t="s">
        <v>63</v>
      </c>
      <c r="H1" s="3" t="s">
        <v>64</v>
      </c>
      <c r="I1" s="3" t="s">
        <v>65</v>
      </c>
      <c r="J1" s="3" t="s">
        <v>66</v>
      </c>
      <c r="K1" s="3" t="s">
        <v>67</v>
      </c>
      <c r="L1" s="3" t="s">
        <v>68</v>
      </c>
      <c r="M1" s="4" t="s">
        <v>69</v>
      </c>
      <c r="O1" s="27" t="s">
        <v>372</v>
      </c>
    </row>
    <row r="2" spans="1:17" ht="15.75" thickTop="1" x14ac:dyDescent="0.25">
      <c r="A2" s="5"/>
      <c r="B2" s="13">
        <f ca="1">SUMPRODUCT(COUNTIF(INDIRECT("'"&amp;Q4:Q13&amp;"'!C2:C11"),"Humanoid"))</f>
        <v>5</v>
      </c>
      <c r="C2" s="13">
        <f ca="1">SUMPRODUCT(COUNTIF(INDIRECT("'"&amp;Q4:Q13&amp;"'!c2:C11"),"Mammalian"))</f>
        <v>1</v>
      </c>
      <c r="D2" s="13">
        <f ca="1">SUMPRODUCT(COUNTIF(INDIRECT("'"&amp;Q4:Q13&amp;"'!C2:C11"),"Reptilian"))</f>
        <v>0</v>
      </c>
      <c r="E2" s="13">
        <f ca="1">SUMPRODUCT(COUNTIF(INDIRECT("'"&amp;Q4:Q13&amp;"'!c2:c11"),"Avian"))</f>
        <v>0</v>
      </c>
      <c r="F2" s="13">
        <f ca="1">SUMPRODUCT(COUNTIF(INDIRECT("'"&amp;Q4:Q13&amp;"'!c2:c11"),"Arthropoid"))</f>
        <v>0</v>
      </c>
      <c r="G2" s="13">
        <f ca="1">SUMPRODUCT(COUNTIF(INDIRECT("'"&amp;Q4:Q13&amp;"'!c2:c11"),"Molluscoid"))</f>
        <v>0</v>
      </c>
      <c r="H2" s="13">
        <f ca="1">SUMPRODUCT(COUNTIF(INDIRECT("'"&amp;Q4:Q13&amp;"'!c2:c11"),"Fungoid"))</f>
        <v>0</v>
      </c>
      <c r="I2" s="13">
        <f ca="1">SUMPRODUCT(COUNTIF(INDIRECT("'"&amp;Q4:Q13&amp;"'!c2:c11"),"Plantoid"))</f>
        <v>0</v>
      </c>
      <c r="J2" s="13">
        <f ca="1">SUMPRODUCT(COUNTIF(INDIRECT("'"&amp;Q4:Q13&amp;"'!c2:c11"),"Lithoid"))</f>
        <v>1</v>
      </c>
      <c r="K2" s="13">
        <f ca="1">SUMPRODUCT(COUNTIF(INDIRECT("'"&amp;Q4:Q13&amp;"'!c2:c11"),"Necroid"))</f>
        <v>0</v>
      </c>
      <c r="L2" s="13">
        <f ca="1">SUMPRODUCT(COUNTIF(INDIRECT("'"&amp;Q4:Q13&amp;"'!c2:c11"),"Aquatic"))</f>
        <v>0</v>
      </c>
      <c r="M2" s="14">
        <f ca="1">SUMPRODUCT(COUNTIF(INDIRECT("'"&amp;Q4:Q13&amp;"'!c2:c11"),"Machine"))</f>
        <v>1</v>
      </c>
      <c r="O2" s="53"/>
    </row>
    <row r="3" spans="1:17" x14ac:dyDescent="0.25">
      <c r="A3" s="5"/>
      <c r="B3" s="6" t="s">
        <v>91</v>
      </c>
      <c r="C3" s="6"/>
      <c r="D3" s="6"/>
      <c r="E3" s="6"/>
      <c r="F3" s="6"/>
      <c r="G3" s="6"/>
      <c r="H3" s="6"/>
      <c r="I3" s="6"/>
      <c r="J3" s="6"/>
      <c r="K3" s="6"/>
      <c r="L3" s="6"/>
      <c r="M3" s="7"/>
      <c r="O3" s="52"/>
      <c r="Q3" t="s">
        <v>356</v>
      </c>
    </row>
    <row r="4" spans="1:17" ht="15.75" thickBot="1" x14ac:dyDescent="0.3">
      <c r="A4" s="8"/>
      <c r="B4" s="9">
        <f ca="1">SUMPRODUCT(COUNTIF(INDIRECT("'"&amp;Q4:Q13&amp;"'!c2:c11"),"Hive Mind"))</f>
        <v>2</v>
      </c>
      <c r="C4" s="9"/>
      <c r="D4" s="9"/>
      <c r="E4" s="9"/>
      <c r="F4" s="9"/>
      <c r="G4" s="9"/>
      <c r="H4" s="9"/>
      <c r="I4" s="9"/>
      <c r="J4" s="9"/>
      <c r="K4" s="9"/>
      <c r="L4" s="9"/>
      <c r="M4" s="10"/>
      <c r="O4" s="18">
        <f ca="1">SUM(B2:M4)</f>
        <v>10</v>
      </c>
      <c r="Q4" t="s">
        <v>80</v>
      </c>
    </row>
    <row r="5" spans="1:17" ht="15.75" thickTop="1" x14ac:dyDescent="0.25">
      <c r="A5" s="15" t="s">
        <v>99</v>
      </c>
      <c r="B5" s="6" t="s">
        <v>9</v>
      </c>
      <c r="C5" s="6" t="s">
        <v>12</v>
      </c>
      <c r="D5" s="6" t="s">
        <v>10</v>
      </c>
      <c r="E5" s="6" t="s">
        <v>11</v>
      </c>
      <c r="F5" s="6" t="s">
        <v>7</v>
      </c>
      <c r="G5" s="6" t="s">
        <v>13</v>
      </c>
      <c r="H5" s="6" t="s">
        <v>14</v>
      </c>
      <c r="I5" s="6" t="s">
        <v>15</v>
      </c>
      <c r="J5" s="6" t="s">
        <v>16</v>
      </c>
      <c r="K5" s="6" t="s">
        <v>17</v>
      </c>
      <c r="L5" s="6" t="s">
        <v>18</v>
      </c>
      <c r="M5" s="7" t="s">
        <v>19</v>
      </c>
      <c r="N5" s="5"/>
      <c r="O5" s="49"/>
      <c r="Q5" t="s">
        <v>77</v>
      </c>
    </row>
    <row r="6" spans="1:17" x14ac:dyDescent="0.25">
      <c r="A6" s="5"/>
      <c r="B6" s="13">
        <f ca="1">SUMPRODUCT(COUNTIF(INDIRECT("'"&amp;Q4:Q13&amp;"'!D2:F11"),"Egalitarian"))</f>
        <v>0</v>
      </c>
      <c r="C6" s="13">
        <f ca="1">SUMPRODUCT(COUNTIF(INDIRECT("'"&amp;Q4:Q13&amp;"'!D2:F11"),"Fan. Egalitarian"))</f>
        <v>0</v>
      </c>
      <c r="D6" s="13">
        <f ca="1">SUMPRODUCT(COUNTIF(INDIRECT("'"&amp;Q4:Q13&amp;"'!D2:F11"),"Materialist"))</f>
        <v>2</v>
      </c>
      <c r="E6" s="13">
        <f ca="1">SUMPRODUCT(COUNTIF(INDIRECT("'"&amp;Q4:Q13&amp;"'!D2:F11"),"Fan. Materialist"))</f>
        <v>4</v>
      </c>
      <c r="F6" s="13">
        <f ca="1">SUMPRODUCT(COUNTIF(INDIRECT("'"&amp;Q4:Q13&amp;"'!D2:F11"),"Pacifist"))</f>
        <v>0</v>
      </c>
      <c r="G6" s="13">
        <f ca="1">SUMPRODUCT(COUNTIF(INDIRECT("'"&amp;Q4:Q13&amp;"'!D2:F11"),"Fan. Pacifist"))</f>
        <v>0</v>
      </c>
      <c r="H6" s="13">
        <f ca="1">SUMPRODUCT(COUNTIF(INDIRECT("'"&amp;Q4:Q13&amp;"'!D2:F11"),"Xenophile"))</f>
        <v>5</v>
      </c>
      <c r="I6" s="13">
        <f ca="1">SUMPRODUCT(COUNTIF(INDIRECT("'"&amp;Q4:Q13&amp;"'!D2:F11"),"Fan. Xenophile"))</f>
        <v>0</v>
      </c>
      <c r="J6" s="13">
        <f ca="1">SUMPRODUCT(COUNTIF(INDIRECT("'"&amp;Q4:Q13&amp;"'!D2:F11"),"Authoritarian"))</f>
        <v>2</v>
      </c>
      <c r="K6" s="13">
        <f ca="1">SUMPRODUCT(COUNTIF(INDIRECT("'"&amp;Q4:Q13&amp;"'!D2:F11"),"Fan. Authoritarian"))</f>
        <v>0</v>
      </c>
      <c r="L6" s="13">
        <f ca="1">SUMPRODUCT(COUNTIF(INDIRECT("'"&amp;Q4:Q13&amp;"'!D2:F11"),"Spiritualist"))</f>
        <v>1</v>
      </c>
      <c r="M6" s="14">
        <f ca="1">SUMPRODUCT(COUNTIF(INDIRECT("'"&amp;Q4:Q13&amp;"'!D2:F11"),"Fan. Spiritualist"))</f>
        <v>1</v>
      </c>
      <c r="N6" s="5"/>
      <c r="O6" s="50"/>
      <c r="Q6" t="s">
        <v>74</v>
      </c>
    </row>
    <row r="7" spans="1:17" x14ac:dyDescent="0.25">
      <c r="A7" s="5"/>
      <c r="B7" s="6" t="s">
        <v>20</v>
      </c>
      <c r="C7" s="6" t="s">
        <v>21</v>
      </c>
      <c r="D7" s="6" t="s">
        <v>22</v>
      </c>
      <c r="E7" s="6" t="s">
        <v>23</v>
      </c>
      <c r="F7" s="6" t="s">
        <v>24</v>
      </c>
      <c r="G7" s="6"/>
      <c r="H7" s="6"/>
      <c r="I7" s="6"/>
      <c r="J7" s="6"/>
      <c r="K7" s="6"/>
      <c r="L7" s="6"/>
      <c r="M7" s="7"/>
      <c r="N7" s="5"/>
      <c r="O7" s="50"/>
      <c r="Q7" t="s">
        <v>73</v>
      </c>
    </row>
    <row r="8" spans="1:17" ht="15.75" thickBot="1" x14ac:dyDescent="0.3">
      <c r="A8" s="5"/>
      <c r="B8" s="13">
        <f ca="1">SUMPRODUCT(COUNTIF(INDIRECT("'"&amp;Q4:Q13&amp;"'!D2:F11"),"Militarist"))</f>
        <v>1</v>
      </c>
      <c r="C8" s="13">
        <f ca="1">SUMPRODUCT(COUNTIF(INDIRECT("'"&amp;Q4:Q13&amp;"'!D2:F11"),"Fan. Militarist"))</f>
        <v>0</v>
      </c>
      <c r="D8" s="13">
        <f ca="1">SUMPRODUCT(COUNTIF(INDIRECT("'"&amp;Q4:Q13&amp;"'!D2:F11"),"Xenophobe"))</f>
        <v>0</v>
      </c>
      <c r="E8" s="13">
        <f ca="1">SUMPRODUCT(COUNTIF(INDIRECT("'"&amp;Q4:Q13&amp;"'!D2:F11"),"Fan. Xenophobe"))</f>
        <v>0</v>
      </c>
      <c r="F8" s="13">
        <f ca="1">SUMPRODUCT(COUNTIF(INDIRECT("'"&amp;Q4:Q13&amp;"'!D2:F11"),"Gestalt Consiousness"))</f>
        <v>3</v>
      </c>
      <c r="G8" s="6"/>
      <c r="H8" s="6"/>
      <c r="I8" s="6"/>
      <c r="J8" s="6"/>
      <c r="K8" s="6"/>
      <c r="L8" s="6"/>
      <c r="M8" s="7"/>
      <c r="N8" s="5"/>
      <c r="O8" s="51">
        <f ca="1">SUM(B6:M8)</f>
        <v>19</v>
      </c>
      <c r="Q8" t="s">
        <v>72</v>
      </c>
    </row>
    <row r="9" spans="1:17" ht="15.75" thickTop="1" x14ac:dyDescent="0.25">
      <c r="A9" s="11" t="s">
        <v>100</v>
      </c>
      <c r="B9" s="3" t="s">
        <v>36</v>
      </c>
      <c r="C9" s="3" t="s">
        <v>37</v>
      </c>
      <c r="D9" s="3" t="s">
        <v>38</v>
      </c>
      <c r="E9" s="3" t="s">
        <v>39</v>
      </c>
      <c r="F9" s="3" t="s">
        <v>40</v>
      </c>
      <c r="G9" s="3" t="s">
        <v>41</v>
      </c>
      <c r="H9" s="3" t="s">
        <v>42</v>
      </c>
      <c r="I9" s="3" t="s">
        <v>43</v>
      </c>
      <c r="J9" s="3" t="s">
        <v>44</v>
      </c>
      <c r="K9" s="3" t="s">
        <v>45</v>
      </c>
      <c r="L9" s="3" t="s">
        <v>46</v>
      </c>
      <c r="M9" s="3" t="s">
        <v>47</v>
      </c>
      <c r="N9" s="52"/>
      <c r="O9" s="49"/>
      <c r="Q9" t="s">
        <v>76</v>
      </c>
    </row>
    <row r="10" spans="1:17" x14ac:dyDescent="0.25">
      <c r="A10" s="5"/>
      <c r="B10" s="13">
        <f ca="1">SUMPRODUCT(COUNTIF(INDIRECT("'"&amp;Q4:Q13&amp;"'!B2:B11"),"Prosperous Unification"))</f>
        <v>0</v>
      </c>
      <c r="C10" s="13">
        <f ca="1">SUMPRODUCT(COUNTIF(INDIRECT("'"&amp;Q4:Q13&amp;"'!B2:B11"),"Galactic Doorstep"))</f>
        <v>0</v>
      </c>
      <c r="D10" s="13">
        <f ca="1">SUMPRODUCT(COUNTIF(INDIRECT("'"&amp;Q4:Q13&amp;"'!B2:B11"),"Lost Colony"))</f>
        <v>0</v>
      </c>
      <c r="E10" s="13">
        <f ca="1">SUMPRODUCT(COUNTIF(INDIRECT("'"&amp;Q4:Q13&amp;"'!B2:B11"),"Mechanist"))</f>
        <v>0</v>
      </c>
      <c r="F10" s="13">
        <f ca="1">SUMPRODUCT(COUNTIF(INDIRECT("'"&amp;Q4:Q13&amp;"'!B2:B11"),"Syncretic Evolution"))</f>
        <v>0</v>
      </c>
      <c r="G10" s="13">
        <f ca="1">SUMPRODUCT(COUNTIF(INDIRECT("'"&amp;Q4:Q13&amp;"'!B2:B11"),"Tree of Life"))</f>
        <v>1</v>
      </c>
      <c r="H10" s="13">
        <f ca="1">SUMPRODUCT(COUNTIF(INDIRECT("'"&amp;Q4:Q13&amp;"'!B2:B11"),"Resource Consolidation"))</f>
        <v>1</v>
      </c>
      <c r="I10" s="13">
        <f ca="1">SUMPRODUCT(COUNTIF(INDIRECT("'"&amp;Q4:Q13&amp;"'!B2:B11"),"Clone Army"))</f>
        <v>1</v>
      </c>
      <c r="J10" s="13">
        <f ca="1">SUMPRODUCT(COUNTIF(INDIRECT("'"&amp;Q4:Q13&amp;"'!B2:B11"),"Life-Seeded"))</f>
        <v>0</v>
      </c>
      <c r="K10" s="13">
        <f ca="1">SUMPRODUCT(COUNTIF(INDIRECT("'"&amp;Q4:Q13&amp;"'!B2:B11"),"Post Apocalyptic"))</f>
        <v>0</v>
      </c>
      <c r="L10" s="13">
        <f ca="1">SUMPRODUCT(COUNTIF(INDIRECT("'"&amp;Q4:Q13&amp;"'!B2:B11"),"Remnants"))</f>
        <v>2</v>
      </c>
      <c r="M10" s="13">
        <f ca="1">SUMPRODUCT(COUNTIF(INDIRECT("'"&amp;Q4:Q13&amp;"'!B2:B11"),"Calamitous Birth"))</f>
        <v>0</v>
      </c>
      <c r="N10" s="52"/>
      <c r="O10" s="50"/>
      <c r="Q10" t="s">
        <v>75</v>
      </c>
    </row>
    <row r="11" spans="1:17" x14ac:dyDescent="0.25">
      <c r="A11" s="5"/>
      <c r="B11" s="6" t="s">
        <v>48</v>
      </c>
      <c r="C11" s="6" t="s">
        <v>49</v>
      </c>
      <c r="D11" s="6" t="s">
        <v>50</v>
      </c>
      <c r="E11" s="6" t="s">
        <v>51</v>
      </c>
      <c r="F11" s="6" t="s">
        <v>52</v>
      </c>
      <c r="G11" s="6" t="s">
        <v>53</v>
      </c>
      <c r="H11" s="6" t="s">
        <v>54</v>
      </c>
      <c r="I11" s="6" t="s">
        <v>55</v>
      </c>
      <c r="J11" s="19" t="s">
        <v>56</v>
      </c>
      <c r="K11" s="19" t="s">
        <v>57</v>
      </c>
      <c r="L11" s="19" t="s">
        <v>397</v>
      </c>
      <c r="M11" s="6" t="s">
        <v>398</v>
      </c>
      <c r="N11" s="52"/>
      <c r="O11" s="50"/>
      <c r="Q11" t="s">
        <v>78</v>
      </c>
    </row>
    <row r="12" spans="1:17" x14ac:dyDescent="0.25">
      <c r="A12" s="5"/>
      <c r="B12" s="13">
        <f ca="1">SUMPRODUCT(COUNTIF(INDIRECT("'"&amp;Q4:Q13&amp;"'!B2:B11"),"Common Ground"))</f>
        <v>1</v>
      </c>
      <c r="C12" s="13">
        <f ca="1">SUMPRODUCT(COUNTIF(INDIRECT("'"&amp;Q4:Q13&amp;"'!B2:B11"),"Hegemon"))</f>
        <v>0</v>
      </c>
      <c r="D12" s="13">
        <f ca="1">SUMPRODUCT(COUNTIF(INDIRECT("'"&amp;Q4:Q13&amp;"'!B2:B11"),"Doomsday"))</f>
        <v>0</v>
      </c>
      <c r="E12" s="13">
        <f ca="1">SUMPRODUCT(COUNTIF(INDIRECT("'"&amp;Q4:Q13&amp;"'!B2:B11"),"On the Shoulders of Giants"))</f>
        <v>0</v>
      </c>
      <c r="F12" s="13">
        <f ca="1">SUMPRODUCT(COUNTIF(INDIRECT("'"&amp;Q4:Q13&amp;"'!B2:B11"),"Scion"))</f>
        <v>0</v>
      </c>
      <c r="G12" s="13">
        <f ca="1">SUMPRODUCT(COUNTIF(INDIRECT("'"&amp;Q4:Q13&amp;"'!B2:B11"),"Shattered Ring"))</f>
        <v>1</v>
      </c>
      <c r="H12" s="13">
        <f ca="1">SUMPRODUCT(COUNTIF(INDIRECT("'"&amp;Q4:Q13&amp;"'!B2:B11"),"Void Dwellers"))</f>
        <v>0</v>
      </c>
      <c r="I12" s="13">
        <f ca="1">SUMPRODUCT(COUNTIF(INDIRECT("'"&amp;Q4:Q13&amp;"'!B2:B11"),"Necrophage"))</f>
        <v>0</v>
      </c>
      <c r="J12" s="6">
        <f ca="1">SUMPRODUCT(COUNTIF(INDIRECT("'"&amp;Q4:Q13&amp;"'!B2:B11"),"Here Be Dragons"))</f>
        <v>0</v>
      </c>
      <c r="K12" s="6">
        <f ca="1">SUMPRODUCT(COUNTIF(INDIRECT("'"&amp;Q4:Q13&amp;"'!B2:B11"),"Ocean Paradise"))</f>
        <v>0</v>
      </c>
      <c r="L12" s="6">
        <f ca="1">SUMPRODUCT(COUNTIF(INDIRECT("'"&amp;Q4:Q13&amp;"'!B2:B11"),"Imperial Fiefdom"))</f>
        <v>0</v>
      </c>
      <c r="M12" s="6">
        <f ca="1">SUMPRODUCT(COUNTIF(INDIRECT("'"&amp;Q4:Q13&amp;"'!B2:B11"),"Teachers of the Shroud"))</f>
        <v>0</v>
      </c>
      <c r="N12" s="52"/>
      <c r="O12" s="50"/>
      <c r="Q12" t="s">
        <v>81</v>
      </c>
    </row>
    <row r="13" spans="1:17" x14ac:dyDescent="0.25">
      <c r="A13" s="5"/>
      <c r="B13" s="6" t="s">
        <v>399</v>
      </c>
      <c r="C13" s="6" t="s">
        <v>408</v>
      </c>
      <c r="D13" s="6" t="s">
        <v>401</v>
      </c>
      <c r="E13" s="6"/>
      <c r="F13" s="6"/>
      <c r="G13" s="6"/>
      <c r="H13" s="6"/>
      <c r="I13" s="6"/>
      <c r="J13" s="6"/>
      <c r="K13" s="6"/>
      <c r="L13" s="6"/>
      <c r="M13" s="6"/>
      <c r="N13" s="52"/>
      <c r="O13" s="50"/>
      <c r="Q13" t="s">
        <v>79</v>
      </c>
    </row>
    <row r="14" spans="1:17" ht="15.75" thickBot="1" x14ac:dyDescent="0.3">
      <c r="A14" s="8"/>
      <c r="B14" s="9">
        <f ca="1">SUMPRODUCT(COUNTIF(INDIRECT("'"&amp;Q4:Q13&amp;"'!B2:B11"),"Slingshot to the Stars"))</f>
        <v>0</v>
      </c>
      <c r="C14" s="9">
        <f ca="1">SUMPRODUCT(COUNTIF(INDIRECT("'"&amp;Q4:Q13&amp;"'!B2:B11"),"Subterranean"))</f>
        <v>2</v>
      </c>
      <c r="D14" s="9">
        <f ca="1">SUMPRODUCT(COUNTIF(INDIRECT("'"&amp;Q4:Q13&amp;"'!B2:B11"),"Progenitor Hive"))</f>
        <v>1</v>
      </c>
      <c r="E14" s="9"/>
      <c r="F14" s="9"/>
      <c r="G14" s="9"/>
      <c r="H14" s="9"/>
      <c r="I14" s="9"/>
      <c r="J14" s="9"/>
      <c r="K14" s="9"/>
      <c r="L14" s="9"/>
      <c r="M14" s="9"/>
      <c r="N14" s="52"/>
      <c r="O14" s="51">
        <f ca="1">SUM(B10:M14)</f>
        <v>10</v>
      </c>
    </row>
    <row r="15" spans="1:17" ht="15.75" thickTop="1" x14ac:dyDescent="0.25">
      <c r="A15" s="11" t="s">
        <v>409</v>
      </c>
      <c r="B15" s="3" t="s">
        <v>404</v>
      </c>
      <c r="C15" s="3" t="s">
        <v>405</v>
      </c>
      <c r="D15" s="3" t="s">
        <v>406</v>
      </c>
      <c r="E15" s="3" t="s">
        <v>407</v>
      </c>
      <c r="F15" s="3"/>
      <c r="G15" s="3"/>
      <c r="H15" s="3"/>
      <c r="I15" s="3"/>
      <c r="J15" s="3"/>
      <c r="K15" s="3"/>
      <c r="L15" s="3"/>
      <c r="M15" s="4"/>
      <c r="O15" s="53"/>
    </row>
    <row r="16" spans="1:17" ht="15.75" thickBot="1" x14ac:dyDescent="0.3">
      <c r="A16" s="8"/>
      <c r="B16" s="9">
        <f ca="1">SUMPRODUCT(COUNTIF(INDIRECT("'"&amp;Q4:Q13&amp;"'!Z2:Z11"),"Overlord"))</f>
        <v>1</v>
      </c>
      <c r="C16" s="9">
        <f ca="1">SUMPRODUCT(COUNTIF(INDIRECT("'"&amp;Q4:Q13&amp;"'!Z2:Z11"),"Bulwark"))</f>
        <v>1</v>
      </c>
      <c r="D16" s="9">
        <f ca="1">SUMPRODUCT(COUNTIF(INDIRECT("'"&amp;Q4:Q13&amp;"'!Z2:Z11"),"Prospectorium"))</f>
        <v>2</v>
      </c>
      <c r="E16" s="9">
        <f ca="1">SUMPRODUCT(COUNTIF(INDIRECT("'"&amp;Q4:Q13&amp;"'!Z2:Z11"),"Scholarium"))</f>
        <v>1</v>
      </c>
      <c r="F16" s="9"/>
      <c r="G16" s="9"/>
      <c r="H16" s="9"/>
      <c r="I16" s="9"/>
      <c r="J16" s="9"/>
      <c r="K16" s="9"/>
      <c r="L16" s="9"/>
      <c r="M16" s="10"/>
      <c r="N16" s="52"/>
      <c r="O16" s="18">
        <f ca="1">SUM(B16:M16)</f>
        <v>5</v>
      </c>
    </row>
    <row r="17" spans="1:15" ht="15.75" thickTop="1" x14ac:dyDescent="0.25">
      <c r="A17" s="11" t="s">
        <v>337</v>
      </c>
      <c r="B17" s="23" t="s">
        <v>278</v>
      </c>
      <c r="C17" s="23" t="s">
        <v>279</v>
      </c>
      <c r="D17" s="23" t="s">
        <v>283</v>
      </c>
      <c r="E17" s="23" t="s">
        <v>312</v>
      </c>
      <c r="F17" s="23" t="s">
        <v>280</v>
      </c>
      <c r="G17" s="23" t="s">
        <v>284</v>
      </c>
      <c r="H17" s="23" t="s">
        <v>313</v>
      </c>
      <c r="I17" s="23" t="s">
        <v>314</v>
      </c>
      <c r="J17" s="23" t="s">
        <v>285</v>
      </c>
      <c r="K17" s="23" t="s">
        <v>281</v>
      </c>
      <c r="L17" s="23" t="s">
        <v>286</v>
      </c>
      <c r="M17" s="24" t="s">
        <v>282</v>
      </c>
      <c r="N17" s="5"/>
      <c r="O17" s="55">
        <f ca="1">SUM(B18:M20)</f>
        <v>10</v>
      </c>
    </row>
    <row r="18" spans="1:15" x14ac:dyDescent="0.25">
      <c r="A18" s="5"/>
      <c r="B18" s="19">
        <f ca="1">SUMPRODUCT(COUNTIF(INDIRECT("'"&amp;Q4:Q13&amp;"'!V2:V11"),"Arid"))</f>
        <v>0</v>
      </c>
      <c r="C18" s="19">
        <f ca="1">SUMPRODUCT(COUNTIF(INDIRECT("'"&amp;Q4:Q13&amp;"'!V2:V11"),"Desert"))</f>
        <v>0</v>
      </c>
      <c r="D18" s="19">
        <f ca="1">SUMPRODUCT(COUNTIF(INDIRECT("'"&amp;Q4:Q13&amp;"'!V2:V11"),"Tundra"))</f>
        <v>0</v>
      </c>
      <c r="E18" s="19">
        <f ca="1">SUMPRODUCT(COUNTIF(INDIRECT("'"&amp;Q4:Q13&amp;"'!V2:V11"),"Gaia World"))</f>
        <v>0</v>
      </c>
      <c r="F18" s="19">
        <f ca="1">SUMPRODUCT(COUNTIF(INDIRECT("'"&amp;Q4:Q13&amp;"'!V2:V11"),"Savannah"))</f>
        <v>3</v>
      </c>
      <c r="G18" s="19">
        <f ca="1">SUMPRODUCT(COUNTIF(INDIRECT("'"&amp;Q4:Q13&amp;"'!V2:V11"),"Continental"))</f>
        <v>1</v>
      </c>
      <c r="H18" s="19">
        <f ca="1">SUMPRODUCT(COUNTIF(INDIRECT("'"&amp;Q4:Q13&amp;"'!V2:V11"),"Habitat"))</f>
        <v>0</v>
      </c>
      <c r="I18" s="19">
        <f ca="1">SUMPRODUCT(COUNTIF(INDIRECT("'"&amp;Q4:Q13&amp;"'!V2:V11"),"Ring World"))</f>
        <v>1</v>
      </c>
      <c r="J18" s="19">
        <f ca="1">SUMPRODUCT(COUNTIF(INDIRECT("'"&amp;Q4:Q13&amp;"'!V2:V11"),"Ocean"))</f>
        <v>1</v>
      </c>
      <c r="K18" s="19">
        <f ca="1">SUMPRODUCT(COUNTIF(INDIRECT("'"&amp;Q4:Q13&amp;"'!V2:V11"),"Alpine"))</f>
        <v>1</v>
      </c>
      <c r="L18" s="19">
        <f ca="1">SUMPRODUCT(COUNTIF(INDIRECT("'"&amp;Q4:Q13&amp;"'!V2:V11"),"Tropical"))</f>
        <v>0</v>
      </c>
      <c r="M18" s="20">
        <f ca="1">SUMPRODUCT(COUNTIF(INDIRECT("'"&amp;Q4:Q13&amp;"'!V2:V11"),"Arctic"))</f>
        <v>0</v>
      </c>
      <c r="N18" s="5"/>
      <c r="O18" s="56"/>
    </row>
    <row r="19" spans="1:15" x14ac:dyDescent="0.25">
      <c r="A19" s="5"/>
      <c r="B19" s="25" t="s">
        <v>311</v>
      </c>
      <c r="C19" s="25" t="s">
        <v>315</v>
      </c>
      <c r="D19" s="25" t="s">
        <v>316</v>
      </c>
      <c r="E19" s="25" t="s">
        <v>317</v>
      </c>
      <c r="F19" s="19"/>
      <c r="G19" s="19"/>
      <c r="H19" s="19"/>
      <c r="I19" s="19"/>
      <c r="J19" s="19"/>
      <c r="K19" s="19"/>
      <c r="L19" s="19"/>
      <c r="M19" s="20"/>
      <c r="N19" s="5"/>
      <c r="O19" s="56"/>
    </row>
    <row r="20" spans="1:15" ht="15.75" thickBot="1" x14ac:dyDescent="0.3">
      <c r="A20" s="8"/>
      <c r="B20" s="9">
        <f ca="1">SUMPRODUCT(COUNTIF(INDIRECT("'"&amp;Q4:Q13&amp;"'!V2:V11"),"Tomb World"))</f>
        <v>0</v>
      </c>
      <c r="C20" s="9">
        <f ca="1">SUMPRODUCT(COUNTIF(INDIRECT("'"&amp;Q4:Q13&amp;"'!V2:V11"),"AI World"))</f>
        <v>0</v>
      </c>
      <c r="D20" s="9">
        <f ca="1">SUMPRODUCT(COUNTIF(INDIRECT("'"&amp;Q4:Q13&amp;"'!V2:V11"),"Machine World"))</f>
        <v>1</v>
      </c>
      <c r="E20" s="9">
        <f ca="1">SUMPRODUCT(COUNTIF(INDIRECT("'"&amp;Q4:Q13&amp;"'!V2:V11"),"Relic World"))</f>
        <v>2</v>
      </c>
      <c r="F20" s="9"/>
      <c r="G20" s="9"/>
      <c r="H20" s="9"/>
      <c r="I20" s="9"/>
      <c r="J20" s="9"/>
      <c r="K20" s="9"/>
      <c r="L20" s="9"/>
      <c r="M20" s="10"/>
      <c r="N20" s="5"/>
      <c r="O20" s="57"/>
    </row>
    <row r="21" spans="1:15" ht="15.75" thickTop="1" x14ac:dyDescent="0.25">
      <c r="A21" s="11" t="s">
        <v>25</v>
      </c>
      <c r="B21" s="3" t="s">
        <v>26</v>
      </c>
      <c r="C21" s="3" t="s">
        <v>27</v>
      </c>
      <c r="D21" s="3" t="s">
        <v>28</v>
      </c>
      <c r="E21" s="3" t="s">
        <v>29</v>
      </c>
      <c r="F21" s="3" t="s">
        <v>91</v>
      </c>
      <c r="G21" s="3" t="s">
        <v>30</v>
      </c>
      <c r="H21" s="3" t="s">
        <v>31</v>
      </c>
      <c r="I21" s="3"/>
      <c r="J21" s="3"/>
      <c r="K21" s="3"/>
      <c r="L21" s="3"/>
      <c r="M21" s="4"/>
      <c r="O21" s="55">
        <f ca="1">SUM(B22:M22)</f>
        <v>10</v>
      </c>
    </row>
    <row r="22" spans="1:15" ht="15.75" thickBot="1" x14ac:dyDescent="0.3">
      <c r="A22" s="8"/>
      <c r="B22" s="12">
        <f ca="1">SUMPRODUCT(COUNTIF(INDIRECT("'"&amp;Q4:Q13&amp;"'!G2:G11"),"Democratic"))</f>
        <v>0</v>
      </c>
      <c r="C22" s="12">
        <f ca="1">SUMPRODUCT(COUNTIF(INDIRECT("'"&amp;Q4:Q13&amp;"'!G2:G11"),"Oligarchic"))</f>
        <v>4</v>
      </c>
      <c r="D22" s="12">
        <f ca="1">SUMPRODUCT(COUNTIF(INDIRECT("'"&amp;Q4:Q13&amp;"'!G2:G11"),"Dictatorial"))</f>
        <v>0</v>
      </c>
      <c r="E22" s="12">
        <f ca="1">SUMPRODUCT(COUNTIF(INDIRECT("'"&amp;Q4:Q13&amp;"'!G2:G11"),"Imperial"))</f>
        <v>1</v>
      </c>
      <c r="F22" s="12">
        <f ca="1">SUMPRODUCT(COUNTIF(INDIRECT("'"&amp;Q4:Q13&amp;"'!G2:G11"),"Hive Mind"))</f>
        <v>2</v>
      </c>
      <c r="G22" s="12">
        <f ca="1">SUMPRODUCT(COUNTIF(INDIRECT("'"&amp;Q4:Q13&amp;"'!G2:G11"),"Machine Intelligence"))</f>
        <v>1</v>
      </c>
      <c r="H22" s="12">
        <f ca="1">SUMPRODUCT(COUNTIF(INDIRECT("'"&amp;Q4:Q13&amp;"'!G2:G11"),"Corporate"))</f>
        <v>2</v>
      </c>
      <c r="I22" s="9"/>
      <c r="J22" s="9"/>
      <c r="K22" s="9"/>
      <c r="L22" s="9"/>
      <c r="M22" s="10"/>
      <c r="O22" s="57"/>
    </row>
    <row r="23" spans="1:15" ht="15.75" thickTop="1" x14ac:dyDescent="0.25">
      <c r="A23" s="11" t="s">
        <v>211</v>
      </c>
      <c r="B23" s="3" t="s">
        <v>118</v>
      </c>
      <c r="C23" s="3" t="s">
        <v>119</v>
      </c>
      <c r="D23" s="3" t="s">
        <v>120</v>
      </c>
      <c r="E23" s="3" t="s">
        <v>121</v>
      </c>
      <c r="F23" s="3" t="s">
        <v>122</v>
      </c>
      <c r="G23" s="3" t="s">
        <v>123</v>
      </c>
      <c r="H23" s="3" t="s">
        <v>124</v>
      </c>
      <c r="I23" s="3" t="s">
        <v>125</v>
      </c>
      <c r="J23" s="3" t="s">
        <v>126</v>
      </c>
      <c r="K23" s="3" t="s">
        <v>127</v>
      </c>
      <c r="L23" s="3" t="s">
        <v>128</v>
      </c>
      <c r="M23" s="4" t="s">
        <v>129</v>
      </c>
      <c r="O23" s="55">
        <f ca="1">SUM(B24:M38)</f>
        <v>21</v>
      </c>
    </row>
    <row r="24" spans="1:15" x14ac:dyDescent="0.25">
      <c r="A24" s="5"/>
      <c r="B24" s="6">
        <f ca="1">SUMPRODUCT(COUNTIF(INDIRECT("'"&amp;Q4:Q13&amp;"'!L2:M11"),"Cutthroat Politics"))</f>
        <v>1</v>
      </c>
      <c r="C24" s="6">
        <f ca="1">SUMPRODUCT(COUNTIF(INDIRECT("'"&amp;Q4:Q13&amp;"'!L2:M11"),"Efficient Bureaucracy"))</f>
        <v>0</v>
      </c>
      <c r="D24" s="6">
        <f ca="1">SUMPRODUCT(COUNTIF(INDIRECT("'"&amp;Q4:Q13&amp;"'!L2:M11"),"Environmentalist"))</f>
        <v>0</v>
      </c>
      <c r="E24" s="6">
        <f ca="1">SUMPRODUCT(COUNTIF(INDIRECT("'"&amp;Q4:Q13&amp;"'!L2:M11"),"Functional Architecture"))</f>
        <v>0</v>
      </c>
      <c r="F24" s="6">
        <f ca="1">SUMPRODUCT(COUNTIF(INDIRECT("'"&amp;Q4:Q13&amp;"'!L2:M11"),"Mining Guilds"))</f>
        <v>1</v>
      </c>
      <c r="G24" s="6">
        <f ca="1">SUMPRODUCT(COUNTIF(INDIRECT("'"&amp;Q4:Q13&amp;"'!L2:M11"),"Agrarian Idyll"))</f>
        <v>0</v>
      </c>
      <c r="H24" s="6">
        <f ca="1">SUMPRODUCT(COUNTIF(INDIRECT("'"&amp;Q4:Q13&amp;"'!L2:M11"),"Aristocratic Elite"))</f>
        <v>2</v>
      </c>
      <c r="I24" s="6">
        <f ca="1">SUMPRODUCT(COUNTIF(INDIRECT("'"&amp;Q4:Q13&amp;"'!L2:M11"),"Beacon of Liberty"))</f>
        <v>0</v>
      </c>
      <c r="J24" s="6">
        <f ca="1">SUMPRODUCT(COUNTIF(INDIRECT("'"&amp;Q4:Q13&amp;"'!L2:M11"),"Citizen Service"))</f>
        <v>1</v>
      </c>
      <c r="K24" s="6">
        <f ca="1">SUMPRODUCT(COUNTIF(INDIRECT("'"&amp;Q4:Q13&amp;"'!L2:M11"),"Corporate Dominion"))</f>
        <v>0</v>
      </c>
      <c r="L24" s="6">
        <f ca="1">SUMPRODUCT(COUNTIF(INDIRECT("'"&amp;Q4:Q13&amp;"'!L2:M11"),"Corvée System"))</f>
        <v>0</v>
      </c>
      <c r="M24" s="7">
        <f ca="1">SUMPRODUCT(COUNTIF(INDIRECT("'"&amp;Q4:Q13&amp;"'!L2:M11"),"Distinguished Admiralty"))</f>
        <v>0</v>
      </c>
      <c r="O24" s="56"/>
    </row>
    <row r="25" spans="1:15" x14ac:dyDescent="0.25">
      <c r="A25" s="5"/>
      <c r="B25" s="6" t="s">
        <v>130</v>
      </c>
      <c r="C25" s="6" t="s">
        <v>131</v>
      </c>
      <c r="D25" s="6" t="s">
        <v>132</v>
      </c>
      <c r="E25" s="6" t="s">
        <v>133</v>
      </c>
      <c r="F25" s="6" t="s">
        <v>134</v>
      </c>
      <c r="G25" s="6" t="s">
        <v>135</v>
      </c>
      <c r="H25" s="6" t="s">
        <v>136</v>
      </c>
      <c r="I25" s="6" t="s">
        <v>137</v>
      </c>
      <c r="J25" s="6" t="s">
        <v>138</v>
      </c>
      <c r="K25" s="6" t="s">
        <v>139</v>
      </c>
      <c r="L25" s="6" t="s">
        <v>140</v>
      </c>
      <c r="M25" s="7" t="s">
        <v>141</v>
      </c>
      <c r="O25" s="56"/>
    </row>
    <row r="26" spans="1:15" x14ac:dyDescent="0.25">
      <c r="A26" s="5"/>
      <c r="B26" s="6">
        <f ca="1">SUMPRODUCT(COUNTIF(INDIRECT("'"&amp;Q4:Q13&amp;"'!L2:M11"),"Exalted Priesthood"))</f>
        <v>0</v>
      </c>
      <c r="C26" s="6">
        <f ca="1">SUMPRODUCT(COUNTIF(INDIRECT("'"&amp;Q4:Q13&amp;"'!L2:M11"),"Feudal Society"))</f>
        <v>1</v>
      </c>
      <c r="D26" s="6">
        <f ca="1">SUMPRODUCT(COUNTIF(INDIRECT("'"&amp;Q4:Q13&amp;"'!L2:M11"),"Free Haven"))</f>
        <v>1</v>
      </c>
      <c r="E26" s="6">
        <f ca="1">SUMPRODUCT(COUNTIF(INDIRECT("'"&amp;Q4:Q13&amp;"'!L2:M11"),"Idealistic Foundation"))</f>
        <v>0</v>
      </c>
      <c r="F26" s="6">
        <f ca="1">SUMPRODUCT(COUNTIF(INDIRECT("'"&amp;Q4:Q13&amp;"'!L2:M11"),"Imperial Cult"))</f>
        <v>0</v>
      </c>
      <c r="G26" s="6">
        <f ca="1">SUMPRODUCT(COUNTIF(INDIRECT("'"&amp;Q4:Q13&amp;"'!L2:M11"),"Inward Perfection"))</f>
        <v>0</v>
      </c>
      <c r="H26" s="6">
        <f ca="1">SUMPRODUCT(COUNTIF(INDIRECT("'"&amp;Q4:Q13&amp;"'!L2:M11"),"Meritocracy"))</f>
        <v>1</v>
      </c>
      <c r="I26" s="6">
        <f ca="1">SUMPRODUCT(COUNTIF(INDIRECT("'"&amp;Q4:Q13&amp;"'!L2:M11"),"Nationalistic Zeal"))</f>
        <v>0</v>
      </c>
      <c r="J26" s="6">
        <f ca="1">SUMPRODUCT(COUNTIF(INDIRECT("'"&amp;Q4:Q13&amp;"'!L2:M11"),"Parliamentary System"))</f>
        <v>0</v>
      </c>
      <c r="K26" s="6">
        <f ca="1">SUMPRODUCT(COUNTIF(INDIRECT("'"&amp;Q4:Q13&amp;"'!L2:M11"),"Philosopher King"))</f>
        <v>0</v>
      </c>
      <c r="L26" s="6">
        <f ca="1">SUMPRODUCT(COUNTIF(INDIRECT("'"&amp;Q4:Q13&amp;"'!L2:M11"),"Police State"))</f>
        <v>0</v>
      </c>
      <c r="M26" s="7">
        <f ca="1">SUMPRODUCT(COUNTIF(INDIRECT("'"&amp;Q4:Q13&amp;"'!L2:M11"),"Shadow Council"))</f>
        <v>0</v>
      </c>
      <c r="O26" s="56"/>
    </row>
    <row r="27" spans="1:15" x14ac:dyDescent="0.25">
      <c r="A27" s="5"/>
      <c r="B27" s="6" t="s">
        <v>142</v>
      </c>
      <c r="C27" s="6" t="s">
        <v>143</v>
      </c>
      <c r="D27" s="6" t="s">
        <v>144</v>
      </c>
      <c r="E27" s="6" t="s">
        <v>145</v>
      </c>
      <c r="F27" s="6" t="s">
        <v>146</v>
      </c>
      <c r="G27" s="6" t="s">
        <v>147</v>
      </c>
      <c r="H27" s="6" t="s">
        <v>148</v>
      </c>
      <c r="I27" s="6" t="s">
        <v>149</v>
      </c>
      <c r="J27" s="6" t="s">
        <v>150</v>
      </c>
      <c r="K27" s="6" t="s">
        <v>151</v>
      </c>
      <c r="L27" s="6" t="s">
        <v>152</v>
      </c>
      <c r="M27" s="7" t="s">
        <v>153</v>
      </c>
      <c r="O27" s="56"/>
    </row>
    <row r="28" spans="1:15" x14ac:dyDescent="0.25">
      <c r="A28" s="5"/>
      <c r="B28" s="6">
        <f ca="1">SUMPRODUCT(COUNTIF(INDIRECT("'"&amp;Q4:Q13&amp;"'!L2:M11"),"Slaver Guilds"))</f>
        <v>0</v>
      </c>
      <c r="C28" s="6">
        <f ca="1">SUMPRODUCT(COUNTIF(INDIRECT("'"&amp;Q4:Q13&amp;"'!L2:M11"),"Technocracy"))</f>
        <v>1</v>
      </c>
      <c r="D28" s="6">
        <f ca="1">SUMPRODUCT(COUNTIF(INDIRECT("'"&amp;Q4:Q13&amp;"'!L2:M11"),"Warrior Culture"))</f>
        <v>0</v>
      </c>
      <c r="E28" s="6">
        <f ca="1">SUMPRODUCT(COUNTIF(INDIRECT("'"&amp;Q4:Q13&amp;"'!L2:M11"),"Catalytic Processing"))</f>
        <v>1</v>
      </c>
      <c r="F28" s="6">
        <f ca="1">SUMPRODUCT(COUNTIF(INDIRECT("'"&amp;Q4:Q13&amp;"'!L2:M11"),"Idyllic Bloom"))</f>
        <v>0</v>
      </c>
      <c r="G28" s="6">
        <f ca="1">SUMPRODUCT(COUNTIF(INDIRECT("'"&amp;Q4:Q13&amp;"'!L2:M11"),"Fanatic Purifiers"))</f>
        <v>0</v>
      </c>
      <c r="H28" s="6">
        <f ca="1">SUMPRODUCT(COUNTIF(INDIRECT("'"&amp;Q4:Q13&amp;"'!L2:M11"),"Masterful Crafters"))</f>
        <v>0</v>
      </c>
      <c r="I28" s="6">
        <f ca="1">SUMPRODUCT(COUNTIF(INDIRECT("'"&amp;Q4:Q13&amp;"'!L2:M11"),"Pleasure Seekers"))</f>
        <v>0</v>
      </c>
      <c r="J28" s="6">
        <f ca="1">SUMPRODUCT(COUNTIF(INDIRECT("'"&amp;Q4:Q13&amp;"'!L2:M11"),"Pompous Purists"))</f>
        <v>0</v>
      </c>
      <c r="K28" s="6">
        <f ca="1">SUMPRODUCT(COUNTIF(INDIRECT("'"&amp;Q4:Q13&amp;"'!L2:M11"),"Barbaric Despoilers"))</f>
        <v>0</v>
      </c>
      <c r="L28" s="6">
        <f ca="1">SUMPRODUCT(COUNTIF(INDIRECT("'"&amp;Q4:Q13&amp;"'!L2:M11"),"Byzantine Bureaucracy"))</f>
        <v>0</v>
      </c>
      <c r="M28" s="7">
        <f ca="1">SUMPRODUCT(COUNTIF(INDIRECT("'"&amp;Q4:Q13&amp;"'!L2:M11"),"Merchant Guilds"))</f>
        <v>0</v>
      </c>
      <c r="O28" s="56"/>
    </row>
    <row r="29" spans="1:15" x14ac:dyDescent="0.25">
      <c r="A29" s="5"/>
      <c r="B29" s="6" t="s">
        <v>154</v>
      </c>
      <c r="C29" s="6" t="s">
        <v>155</v>
      </c>
      <c r="D29" s="6" t="s">
        <v>156</v>
      </c>
      <c r="E29" s="6" t="s">
        <v>157</v>
      </c>
      <c r="F29" s="6" t="s">
        <v>158</v>
      </c>
      <c r="G29" s="6" t="s">
        <v>159</v>
      </c>
      <c r="H29" s="6" t="s">
        <v>160</v>
      </c>
      <c r="I29" s="6" t="s">
        <v>161</v>
      </c>
      <c r="J29" s="6" t="s">
        <v>162</v>
      </c>
      <c r="K29" s="6" t="s">
        <v>163</v>
      </c>
      <c r="L29" s="6" t="s">
        <v>164</v>
      </c>
      <c r="M29" s="7" t="s">
        <v>165</v>
      </c>
      <c r="O29" s="56"/>
    </row>
    <row r="30" spans="1:15" x14ac:dyDescent="0.25">
      <c r="A30" s="5"/>
      <c r="B30" s="6">
        <f ca="1">SUMPRODUCT(COUNTIF(INDIRECT("'"&amp;Q4:Q13&amp;"'!L2:M11"),"Shared Burdens"))</f>
        <v>0</v>
      </c>
      <c r="C30" s="6">
        <f ca="1">SUMPRODUCT(COUNTIF(INDIRECT("'"&amp;Q4:Q13&amp;"'!L2:M11"),"Diplomatic Corps"))</f>
        <v>0</v>
      </c>
      <c r="D30" s="6">
        <f ca="1">SUMPRODUCT(COUNTIF(INDIRECT("'"&amp;Q4:Q13&amp;"'!L2:M11"),"Memorialists"))</f>
        <v>0</v>
      </c>
      <c r="E30" s="6">
        <f ca="1">SUMPRODUCT(COUNTIF(INDIRECT("'"&amp;Q4:Q13&amp;"'!L2:M11"),"Reanimators"))</f>
        <v>1</v>
      </c>
      <c r="F30" s="6">
        <f ca="1">SUMPRODUCT(COUNTIF(INDIRECT("'"&amp;Q4:Q13&amp;"'!L2:M11"),"Death Cult"))</f>
        <v>0</v>
      </c>
      <c r="G30" s="6">
        <f ca="1">SUMPRODUCT(COUNTIF(INDIRECT("'"&amp;Q4:Q13&amp;"'!L2:M11"),"Anglers"))</f>
        <v>0</v>
      </c>
      <c r="H30" s="6">
        <f ca="1">SUMPRODUCT(COUNTIF(INDIRECT("'"&amp;Q4:Q13&amp;"'!L2:M11"),"Criminal Heritage"))</f>
        <v>0</v>
      </c>
      <c r="I30" s="6">
        <f ca="1">SUMPRODUCT(COUNTIF(INDIRECT("'"&amp;Q4:Q13&amp;"'!L2:M11"),"Franchising"))</f>
        <v>0</v>
      </c>
      <c r="J30" s="6">
        <f ca="1">SUMPRODUCT(COUNTIF(INDIRECT("'"&amp;Q4:Q13&amp;"'!L2:M11"),"Free Traders"))</f>
        <v>1</v>
      </c>
      <c r="K30" s="6">
        <f ca="1">SUMPRODUCT(COUNTIF(INDIRECT("'"&amp;Q4:Q13&amp;"'!L2:M11"),"Private Prospectors"))</f>
        <v>1</v>
      </c>
      <c r="L30" s="6">
        <f ca="1">SUMPRODUCT(COUNTIF(INDIRECT("'"&amp;Q4:Q13&amp;"'!L2:M11"),"Trading Posts"))</f>
        <v>0</v>
      </c>
      <c r="M30" s="7">
        <f ca="1">SUMPRODUCT(COUNTIF(INDIRECT("'"&amp;Q4:Q13&amp;"'!L2:M11"),"Brand Loyalty"))</f>
        <v>1</v>
      </c>
      <c r="O30" s="56"/>
    </row>
    <row r="31" spans="1:15" x14ac:dyDescent="0.25">
      <c r="A31" s="5"/>
      <c r="B31" s="6" t="s">
        <v>166</v>
      </c>
      <c r="C31" s="6" t="s">
        <v>167</v>
      </c>
      <c r="D31" s="6" t="s">
        <v>168</v>
      </c>
      <c r="E31" s="6" t="s">
        <v>169</v>
      </c>
      <c r="F31" s="6" t="s">
        <v>170</v>
      </c>
      <c r="G31" s="6" t="s">
        <v>171</v>
      </c>
      <c r="H31" s="6" t="s">
        <v>145</v>
      </c>
      <c r="I31" s="6" t="s">
        <v>174</v>
      </c>
      <c r="J31" s="6" t="s">
        <v>175</v>
      </c>
      <c r="K31" s="6" t="s">
        <v>176</v>
      </c>
      <c r="L31" s="6" t="s">
        <v>177</v>
      </c>
      <c r="M31" s="7" t="s">
        <v>178</v>
      </c>
      <c r="O31" s="56"/>
    </row>
    <row r="32" spans="1:15" x14ac:dyDescent="0.25">
      <c r="A32" s="5"/>
      <c r="B32" s="6">
        <f ca="1">SUMPRODUCT(COUNTIF(INDIRECT("'"&amp;Q4:Q13&amp;"'!L2:M11"),"Gospel of the Masses"))</f>
        <v>0</v>
      </c>
      <c r="C32" s="6">
        <f ca="1">SUMPRODUCT(COUNTIF(INDIRECT("'"&amp;Q4:Q13&amp;"'!L2:M11"),"Indentured Assets"))</f>
        <v>0</v>
      </c>
      <c r="D32" s="6">
        <f ca="1">SUMPRODUCT(COUNTIF(INDIRECT("'"&amp;Q4:Q13&amp;"'!L2:M11"),"Media Conglomerate"))</f>
        <v>0</v>
      </c>
      <c r="E32" s="6">
        <f ca="1">SUMPRODUCT(COUNTIF(INDIRECT("'"&amp;Q4:Q13&amp;"'!L2:M11"),"Naval Contractors"))</f>
        <v>0</v>
      </c>
      <c r="F32" s="6">
        <f ca="1">SUMPRODUCT(COUNTIF(INDIRECT("'"&amp;Q4:Q13&amp;"'!L2:M11"),"Private Military Companies"))</f>
        <v>0</v>
      </c>
      <c r="G32" s="6">
        <f ca="1">SUMPRODUCT(COUNTIF(INDIRECT("'"&amp;Q4:Q13&amp;"'!L2:M11"),"Ruthless Competition"))</f>
        <v>0</v>
      </c>
      <c r="H32" s="6">
        <f ca="1">SUMPRODUCT(COUNTIF(INDIRECT("'"&amp;Q4:Q13&amp;"'!L2:M11"),"Catalytic Processing"))</f>
        <v>1</v>
      </c>
      <c r="I32" s="6">
        <f ca="1">SUMPRODUCT(COUNTIF(INDIRECT("'"&amp;Q4:Q13&amp;"'!L2:M11"),"Mastercraft Inc."))</f>
        <v>0</v>
      </c>
      <c r="J32" s="6">
        <f ca="1">SUMPRODUCT(COUNTIF(INDIRECT("'"&amp;Q4:Q13&amp;"'!L2:M11"),"Corporate Hedonism"))</f>
        <v>0</v>
      </c>
      <c r="K32" s="6">
        <f ca="1">SUMPRODUCT(COUNTIF(INDIRECT("'"&amp;Q4:Q13&amp;"'!L2:M11"),"Public Relations Specialists"))</f>
        <v>0</v>
      </c>
      <c r="L32" s="6">
        <f ca="1">SUMPRODUCT(COUNTIF(INDIRECT("'"&amp;Q4:Q13&amp;"'!L2:M11"),"Corporate Death Cult"))</f>
        <v>1</v>
      </c>
      <c r="M32" s="7">
        <f ca="1">SUMPRODUCT(COUNTIF(INDIRECT("'"&amp;Q4:Q13&amp;"'!L2:M11"),"Permanent Employment"))</f>
        <v>0</v>
      </c>
      <c r="O32" s="56"/>
    </row>
    <row r="33" spans="1:15" x14ac:dyDescent="0.25">
      <c r="A33" s="5"/>
      <c r="B33" s="6" t="s">
        <v>179</v>
      </c>
      <c r="C33" s="6" t="s">
        <v>180</v>
      </c>
      <c r="D33" s="6" t="s">
        <v>181</v>
      </c>
      <c r="E33" s="6" t="s">
        <v>182</v>
      </c>
      <c r="F33" s="6" t="s">
        <v>183</v>
      </c>
      <c r="G33" s="6" t="s">
        <v>184</v>
      </c>
      <c r="H33" s="6" t="s">
        <v>185</v>
      </c>
      <c r="I33" s="6" t="s">
        <v>186</v>
      </c>
      <c r="J33" s="6" t="s">
        <v>187</v>
      </c>
      <c r="K33" s="6" t="s">
        <v>188</v>
      </c>
      <c r="L33" s="6" t="s">
        <v>189</v>
      </c>
      <c r="M33" s="7" t="s">
        <v>190</v>
      </c>
      <c r="O33" s="56"/>
    </row>
    <row r="34" spans="1:15" x14ac:dyDescent="0.25">
      <c r="A34" s="5"/>
      <c r="B34" s="6">
        <f ca="1">SUMPRODUCT(COUNTIF(INDIRECT("'"&amp;Q4:Q13&amp;"'!L2:M11"),"Ascetic"))</f>
        <v>1</v>
      </c>
      <c r="C34" s="6">
        <f ca="1">SUMPRODUCT(COUNTIF(INDIRECT("'"&amp;Q4:Q13&amp;"'!L2:M11"),"Divided Attention"))</f>
        <v>0</v>
      </c>
      <c r="D34" s="6">
        <f ca="1">SUMPRODUCT(COUNTIF(INDIRECT("'"&amp;Q4:Q13&amp;"'!L2:M11"),"Natural Neural Network"))</f>
        <v>0</v>
      </c>
      <c r="E34" s="6">
        <f ca="1">SUMPRODUCT(COUNTIF(INDIRECT("'"&amp;Q4:Q13&amp;"'!L2:M11"),"One Mind"))</f>
        <v>1</v>
      </c>
      <c r="F34" s="6">
        <f ca="1">SUMPRODUCT(COUNTIF(INDIRECT("'"&amp;Q4:Q13&amp;"'!L2:M11"),"Pooled Knowledge"))</f>
        <v>0</v>
      </c>
      <c r="G34" s="6">
        <f ca="1">SUMPRODUCT(COUNTIF(INDIRECT("'"&amp;Q4:Q13&amp;"'!L2:M11"),"Strength of Legions"))</f>
        <v>0</v>
      </c>
      <c r="H34" s="6">
        <f ca="1">SUMPRODUCT(COUNTIF(INDIRECT("'"&amp;Q4:Q13&amp;"'!L2:M11"),"Subspace Ephapse"))</f>
        <v>0</v>
      </c>
      <c r="I34" s="6">
        <f ca="1">SUMPRODUCT(COUNTIF(INDIRECT("'"&amp;Q4:Q13&amp;"'!L2:M11"),"Subsumed Will"))</f>
        <v>0</v>
      </c>
      <c r="J34" s="6">
        <f ca="1">SUMPRODUCT(COUNTIF(INDIRECT("'"&amp;Q4:Q13&amp;"'!L2:M11"),"Devouring Swarm"))</f>
        <v>0</v>
      </c>
      <c r="K34" s="6">
        <f ca="1">SUMPRODUCT(COUNTIF(INDIRECT("'"&amp;Q4:Q13&amp;"'!L2:M11"),"Terravore"))</f>
        <v>0</v>
      </c>
      <c r="L34" s="6">
        <f ca="1">SUMPRODUCT(COUNTIF(INDIRECT("'"&amp;Q4:Q13&amp;"'!L2:M11"),"Empath"))</f>
        <v>1</v>
      </c>
      <c r="M34" s="7">
        <f ca="1">SUMPRODUCT(COUNTIF(INDIRECT("'"&amp;Q4:Q13&amp;"'!L2:M11"),"Memoralist"))</f>
        <v>0</v>
      </c>
      <c r="O34" s="56"/>
    </row>
    <row r="35" spans="1:15" x14ac:dyDescent="0.25">
      <c r="A35" s="5"/>
      <c r="B35" s="6" t="s">
        <v>191</v>
      </c>
      <c r="C35" s="6" t="s">
        <v>192</v>
      </c>
      <c r="D35" s="6" t="s">
        <v>193</v>
      </c>
      <c r="E35" s="6" t="s">
        <v>194</v>
      </c>
      <c r="F35" s="6" t="s">
        <v>195</v>
      </c>
      <c r="G35" s="6" t="s">
        <v>196</v>
      </c>
      <c r="H35" s="6" t="s">
        <v>197</v>
      </c>
      <c r="I35" s="6" t="s">
        <v>198</v>
      </c>
      <c r="J35" s="6" t="s">
        <v>199</v>
      </c>
      <c r="K35" s="6" t="s">
        <v>200</v>
      </c>
      <c r="L35" s="6" t="s">
        <v>201</v>
      </c>
      <c r="M35" s="7" t="s">
        <v>202</v>
      </c>
      <c r="O35" s="56"/>
    </row>
    <row r="36" spans="1:15" x14ac:dyDescent="0.25">
      <c r="A36" s="5"/>
      <c r="B36" s="6">
        <f ca="1">SUMPRODUCT(COUNTIF(INDIRECT("'"&amp;Q4:Q13&amp;"'!L2:M11"),"Constructobot"))</f>
        <v>0</v>
      </c>
      <c r="C36" s="6">
        <f ca="1">SUMPRODUCT(COUNTIF(INDIRECT("'"&amp;Q4:Q13&amp;"'!L2:M11"),"Delegated Functions"))</f>
        <v>0</v>
      </c>
      <c r="D36" s="6">
        <f ca="1">SUMPRODUCT(COUNTIF(INDIRECT("'"&amp;Q4:Q13&amp;"'!L2:M11"),"Factory Overclocking"))</f>
        <v>0</v>
      </c>
      <c r="E36" s="6">
        <f ca="1">SUMPRODUCT(COUNTIF(INDIRECT("'"&amp;Q4:Q13&amp;"'!L2:M11"),"Introspective"))</f>
        <v>0</v>
      </c>
      <c r="F36" s="6">
        <f ca="1">SUMPRODUCT(COUNTIF(INDIRECT("'"&amp;Q4:Q13&amp;"'!L2:M11"),"Maintenance Protocols"))</f>
        <v>1</v>
      </c>
      <c r="G36" s="6">
        <f ca="1">SUMPRODUCT(COUNTIF(INDIRECT("'"&amp;Q4:Q13&amp;"'!L2:M11"),"OTA Updates"))</f>
        <v>0</v>
      </c>
      <c r="H36" s="6">
        <f ca="1">SUMPRODUCT(COUNTIF(INDIRECT("'"&amp;Q4:Q13&amp;"'!L2:M11"),"Rapid Replicator"))</f>
        <v>1</v>
      </c>
      <c r="I36" s="6">
        <f ca="1">SUMPRODUCT(COUNTIF(INDIRECT("'"&amp;Q4:Q13&amp;"'!L2:M11"),"Rockbreakers"))</f>
        <v>0</v>
      </c>
      <c r="J36" s="6">
        <f ca="1">SUMPRODUCT(COUNTIF(INDIRECT("'"&amp;Q4:Q13&amp;"'!L2:M11"),"Static Research Analysis"))</f>
        <v>0</v>
      </c>
      <c r="K36" s="6">
        <f ca="1">SUMPRODUCT(COUNTIF(INDIRECT("'"&amp;Q4:Q13&amp;"'!L2:M11"),"Unitary Cohesion"))</f>
        <v>0</v>
      </c>
      <c r="L36" s="6">
        <f ca="1">SUMPRODUCT(COUNTIF(INDIRECT("'"&amp;Q4:Q13&amp;"'!L2:M11"),"Warbots"))</f>
        <v>0</v>
      </c>
      <c r="M36" s="7">
        <f ca="1">SUMPRODUCT(COUNTIF(INDIRECT("'"&amp;Q4:Q13&amp;"'!L2:M11"),"Zero-Waste Protocols"))</f>
        <v>0</v>
      </c>
      <c r="O36" s="56"/>
    </row>
    <row r="37" spans="1:15" x14ac:dyDescent="0.25">
      <c r="A37" s="5"/>
      <c r="B37" s="6" t="s">
        <v>203</v>
      </c>
      <c r="C37" s="6" t="s">
        <v>204</v>
      </c>
      <c r="D37" s="6" t="s">
        <v>205</v>
      </c>
      <c r="E37" s="6"/>
      <c r="F37" s="6"/>
      <c r="G37" s="6"/>
      <c r="H37" s="6"/>
      <c r="I37" s="6"/>
      <c r="J37" s="6"/>
      <c r="K37" s="6"/>
      <c r="L37" s="6"/>
      <c r="M37" s="7"/>
      <c r="O37" s="56"/>
    </row>
    <row r="38" spans="1:15" ht="15.75" thickBot="1" x14ac:dyDescent="0.3">
      <c r="A38" s="8"/>
      <c r="B38" s="9">
        <f ca="1">SUMPRODUCT(COUNTIF(INDIRECT("'"&amp;Q4:Q13&amp;"'!L2:M11"),"Determined Exterminator"))</f>
        <v>0</v>
      </c>
      <c r="C38" s="9">
        <f ca="1">SUMPRODUCT(COUNTIF(INDIRECT("'"&amp;Q4:Q13&amp;"'!L2:M11"),"Driven Assimilator"))</f>
        <v>0</v>
      </c>
      <c r="D38" s="9">
        <f ca="1">SUMPRODUCT(COUNTIF(INDIRECT("'"&amp;Q4:Q13&amp;"'!L2:M11"),"Rogue Servitor"))</f>
        <v>0</v>
      </c>
      <c r="E38" s="9"/>
      <c r="F38" s="9"/>
      <c r="G38" s="9"/>
      <c r="H38" s="9"/>
      <c r="I38" s="9"/>
      <c r="J38" s="9"/>
      <c r="K38" s="9"/>
      <c r="L38" s="9"/>
      <c r="M38" s="10"/>
      <c r="O38" s="57"/>
    </row>
    <row r="39" spans="1:15" ht="15.75" thickTop="1" x14ac:dyDescent="0.25">
      <c r="A39" s="26" t="s">
        <v>331</v>
      </c>
      <c r="B39" s="21" t="s">
        <v>332</v>
      </c>
      <c r="C39" s="3"/>
      <c r="D39" s="3"/>
      <c r="E39" s="3"/>
      <c r="F39" s="3"/>
      <c r="G39" s="3"/>
      <c r="H39" s="3"/>
      <c r="I39" s="3"/>
      <c r="J39" s="3"/>
      <c r="K39" s="3"/>
      <c r="L39" s="3"/>
      <c r="M39" s="4"/>
      <c r="O39" s="55">
        <f ca="1">SUM(B41:M51)</f>
        <v>31</v>
      </c>
    </row>
    <row r="40" spans="1:15" x14ac:dyDescent="0.25">
      <c r="A40" s="5"/>
      <c r="B40" s="5"/>
      <c r="C40" s="25" t="s">
        <v>228</v>
      </c>
      <c r="D40" s="25" t="s">
        <v>229</v>
      </c>
      <c r="E40" s="25" t="s">
        <v>230</v>
      </c>
      <c r="F40" s="25" t="s">
        <v>231</v>
      </c>
      <c r="G40" s="25" t="s">
        <v>232</v>
      </c>
      <c r="H40" s="25" t="s">
        <v>233</v>
      </c>
      <c r="I40" s="25" t="s">
        <v>234</v>
      </c>
      <c r="J40" s="25" t="s">
        <v>235</v>
      </c>
      <c r="K40" s="25" t="s">
        <v>236</v>
      </c>
      <c r="L40" s="25" t="s">
        <v>237</v>
      </c>
      <c r="M40" s="59" t="s">
        <v>238</v>
      </c>
      <c r="O40" s="56"/>
    </row>
    <row r="41" spans="1:15" x14ac:dyDescent="0.25">
      <c r="A41" s="5"/>
      <c r="B41" s="5"/>
      <c r="C41" s="6">
        <f ca="1">SUMPRODUCT(COUNTIF(INDIRECT("'"&amp;Q4:Q13&amp;"'!N2:R11"),"Adaptive"))</f>
        <v>2</v>
      </c>
      <c r="D41" s="6">
        <f ca="1">SUMPRODUCT(COUNTIF(INDIRECT("'"&amp;Q4:Q13&amp;"'!N2:R11"),"Extremely Adaptive"))</f>
        <v>0</v>
      </c>
      <c r="E41" s="6">
        <f ca="1">SUMPRODUCT(COUNTIF(INDIRECT("'"&amp;Q4:Q13&amp;"'!N2:R11"),"Ararian"))</f>
        <v>0</v>
      </c>
      <c r="F41" s="6">
        <f ca="1">SUMPRODUCT(COUNTIF(INDIRECT("'"&amp;Q4:Q13&amp;"'!N2:R11"),"Charismatic"))</f>
        <v>2</v>
      </c>
      <c r="G41" s="6">
        <f ca="1">SUMPRODUCT(COUNTIF(INDIRECT("'"&amp;Q4:Q13&amp;"'!N2:R11"),"Communal"))</f>
        <v>1</v>
      </c>
      <c r="H41" s="6">
        <f ca="1">SUMPRODUCT(COUNTIF(INDIRECT("'"&amp;Q4:Q13&amp;"'!N2:R11"),"Confirmists"))</f>
        <v>0</v>
      </c>
      <c r="I41" s="6">
        <f ca="1">SUMPRODUCT(COUNTIF(INDIRECT("'"&amp;Q4:Q13&amp;"'!N2:R11"),"Conservationist"))</f>
        <v>0</v>
      </c>
      <c r="J41" s="6">
        <f ca="1">SUMPRODUCT(COUNTIF(INDIRECT("'"&amp;Q4:Q13&amp;"'!N2:R11"),"Docile"))</f>
        <v>1</v>
      </c>
      <c r="K41" s="6">
        <f ca="1">SUMPRODUCT(COUNTIF(INDIRECT("'"&amp;Q4:Q13&amp;"'!N2:R11"),"Enduring"))</f>
        <v>1</v>
      </c>
      <c r="L41" s="6">
        <f ca="1">SUMPRODUCT(COUNTIF(INDIRECT("'"&amp;Q4:Q13&amp;"'!N2:R11"),"Venerable"))</f>
        <v>0</v>
      </c>
      <c r="M41" s="60">
        <f ca="1">SUMPRODUCT(COUNTIF(INDIRECT("'"&amp;Q4:Q13&amp;"'!N2:R11"),"Industrious"))</f>
        <v>0</v>
      </c>
      <c r="O41" s="56"/>
    </row>
    <row r="42" spans="1:15" x14ac:dyDescent="0.25">
      <c r="A42" s="5"/>
      <c r="B42" s="5"/>
      <c r="C42" s="25" t="s">
        <v>239</v>
      </c>
      <c r="D42" s="25" t="s">
        <v>240</v>
      </c>
      <c r="E42" s="25" t="s">
        <v>241</v>
      </c>
      <c r="F42" s="25" t="s">
        <v>242</v>
      </c>
      <c r="G42" s="25" t="s">
        <v>243</v>
      </c>
      <c r="H42" s="25" t="s">
        <v>244</v>
      </c>
      <c r="I42" s="25" t="s">
        <v>245</v>
      </c>
      <c r="J42" s="25" t="s">
        <v>246</v>
      </c>
      <c r="K42" s="25" t="s">
        <v>247</v>
      </c>
      <c r="L42" s="25" t="s">
        <v>248</v>
      </c>
      <c r="M42" s="59" t="s">
        <v>249</v>
      </c>
      <c r="O42" s="56"/>
    </row>
    <row r="43" spans="1:15" x14ac:dyDescent="0.25">
      <c r="A43" s="5"/>
      <c r="B43" s="5"/>
      <c r="C43" s="6">
        <f ca="1">SUMPRODUCT(COUNTIF(INDIRECT("'"&amp;Q4:Q13&amp;"'!N2:R11"),"Ingenious"))</f>
        <v>0</v>
      </c>
      <c r="D43" s="6">
        <f ca="1">SUMPRODUCT(COUNTIF(INDIRECT("'"&amp;Q4:Q13&amp;"'!N2:R11"),"Intelligent"))</f>
        <v>2</v>
      </c>
      <c r="E43" s="6">
        <f ca="1">SUMPRODUCT(COUNTIF(INDIRECT("'"&amp;Q4:Q13&amp;"'!N2:R11"),"Natural Engineers"))</f>
        <v>1</v>
      </c>
      <c r="F43" s="6">
        <f ca="1">SUMPRODUCT(COUNTIF(INDIRECT("'"&amp;Q4:Q13&amp;"'!N2:R11"),"Natural Physicists"))</f>
        <v>0</v>
      </c>
      <c r="G43" s="6">
        <f ca="1">SUMPRODUCT(COUNTIF(INDIRECT("'"&amp;Q4:Q13&amp;"'!N2:R11"),"Natural Sociologists"))</f>
        <v>0</v>
      </c>
      <c r="H43" s="6">
        <f ca="1">SUMPRODUCT(COUNTIF(INDIRECT("'"&amp;Q4:Q13&amp;"'!N2:R11"),"Nomadic"))</f>
        <v>1</v>
      </c>
      <c r="I43" s="6">
        <f ca="1">SUMPRODUCT(COUNTIF(INDIRECT("'"&amp;Q4:Q13&amp;"'!N2:R11"),"Quick Learners"))</f>
        <v>1</v>
      </c>
      <c r="J43" s="6">
        <f ca="1">SUMPRODUCT(COUNTIF(INDIRECT("'"&amp;Q4:Q13&amp;"'!N2:R11"),"Rapid Breeders"))</f>
        <v>2</v>
      </c>
      <c r="K43" s="6">
        <f ca="1">SUMPRODUCT(COUNTIF(INDIRECT("'"&amp;Q4:Q13&amp;"'!N2:R11"),"Resilient"))</f>
        <v>0</v>
      </c>
      <c r="L43" s="6">
        <f ca="1">SUMPRODUCT(COUNTIF(INDIRECT("'"&amp;Q4:Q13&amp;"'!N2:R11"),"Strong"))</f>
        <v>1</v>
      </c>
      <c r="M43" s="61">
        <f ca="1">SUMPRODUCT(COUNTIF(INDIRECT("'"&amp;Q4:Q13&amp;"'!N2:R11"),"Very Strong"))</f>
        <v>1</v>
      </c>
      <c r="O43" s="56"/>
    </row>
    <row r="44" spans="1:15" x14ac:dyDescent="0.25">
      <c r="A44" s="5"/>
      <c r="B44" s="5"/>
      <c r="D44" s="25" t="s">
        <v>250</v>
      </c>
      <c r="E44" s="25" t="s">
        <v>252</v>
      </c>
      <c r="F44" s="25" t="s">
        <v>251</v>
      </c>
      <c r="G44" s="25" t="s">
        <v>267</v>
      </c>
      <c r="H44" s="25" t="s">
        <v>268</v>
      </c>
      <c r="I44" s="25" t="s">
        <v>269</v>
      </c>
      <c r="J44" s="25" t="s">
        <v>66</v>
      </c>
      <c r="K44" s="25" t="s">
        <v>270</v>
      </c>
      <c r="L44" s="25" t="s">
        <v>328</v>
      </c>
      <c r="M44" s="59" t="s">
        <v>271</v>
      </c>
      <c r="O44" s="56"/>
    </row>
    <row r="45" spans="1:15" x14ac:dyDescent="0.25">
      <c r="A45" s="5"/>
      <c r="B45" s="5"/>
      <c r="D45" s="6">
        <f ca="1">SUMPRODUCT(COUNTIF(INDIRECT("'"&amp;Q4:Q13&amp;"'!N2:R11"),"Talented"))</f>
        <v>0</v>
      </c>
      <c r="E45" s="6">
        <f ca="1">SUMPRODUCT(COUNTIF(INDIRECT("'"&amp;Q4:Q13&amp;"'!N2:R11"),"Thrifty"))</f>
        <v>1</v>
      </c>
      <c r="F45" s="6">
        <f ca="1">SUMPRODUCT(COUNTIF(INDIRECT("'"&amp;Q4:Q13&amp;"'!N2:R11"),"Traditional"))</f>
        <v>3</v>
      </c>
      <c r="G45" s="6">
        <f ca="1">SUMPRODUCT(COUNTIF(INDIRECT("'"&amp;Q4:Q13&amp;"'!N2:R11"),"Phototrophic"))</f>
        <v>1</v>
      </c>
      <c r="H45" s="6">
        <f ca="1">SUMPRODUCT(COUNTIF(INDIRECT("'"&amp;Q4:Q13&amp;"'!N2:R11"),"Radiotrophic"))</f>
        <v>0</v>
      </c>
      <c r="I45" s="6">
        <f ca="1">SUMPRODUCT(COUNTIF(INDIRECT("'"&amp;Q4:Q13&amp;"'!N2:R11"),"Budding"))</f>
        <v>1</v>
      </c>
      <c r="J45" s="6">
        <f ca="1">SUMPRODUCT(COUNTIF(INDIRECT("'"&amp;Q4:Q13&amp;"'!N2:R11"),"Lithoid"))</f>
        <v>1</v>
      </c>
      <c r="K45" s="6">
        <f ca="1">SUMPRODUCT(COUNTIF(INDIRECT("'"&amp;Q4:Q13&amp;"'!N2:R11"),"Gaseous Byproducts"))</f>
        <v>0</v>
      </c>
      <c r="L45" s="6">
        <f ca="1">SUMPRODUCT(COUNTIF(INDIRECT("'"&amp;Q4:Q13&amp;"'!N2:R11"),"Scintillating Skin"))</f>
        <v>1</v>
      </c>
      <c r="M45" s="61">
        <f ca="1">SUMPRODUCT(COUNTIF(INDIRECT("'"&amp;Q4:Q13&amp;"'!N2:R11"),"Volatile Excretions"))</f>
        <v>0</v>
      </c>
      <c r="O45" s="56"/>
    </row>
    <row r="46" spans="1:15" x14ac:dyDescent="0.25">
      <c r="A46" s="5"/>
      <c r="B46" s="5"/>
      <c r="C46" s="25" t="s">
        <v>272</v>
      </c>
      <c r="D46" s="25" t="s">
        <v>273</v>
      </c>
      <c r="E46" s="25" t="s">
        <v>274</v>
      </c>
      <c r="F46" s="25" t="s">
        <v>275</v>
      </c>
      <c r="G46" s="25" t="s">
        <v>55</v>
      </c>
      <c r="H46" s="25" t="s">
        <v>69</v>
      </c>
      <c r="I46" s="25" t="s">
        <v>287</v>
      </c>
      <c r="J46" s="25" t="s">
        <v>288</v>
      </c>
      <c r="K46" s="25" t="s">
        <v>289</v>
      </c>
      <c r="L46" s="25" t="s">
        <v>290</v>
      </c>
      <c r="M46" s="59" t="s">
        <v>291</v>
      </c>
      <c r="O46" s="56"/>
    </row>
    <row r="47" spans="1:15" x14ac:dyDescent="0.25">
      <c r="A47" s="5"/>
      <c r="B47" s="5"/>
      <c r="C47" s="6">
        <f ca="1">SUMPRODUCT(COUNTIF(INDIRECT("'"&amp;Q4:Q13&amp;"'!N2:R11"),"Serviles"))</f>
        <v>0</v>
      </c>
      <c r="D47" s="6">
        <f ca="1">SUMPRODUCT(COUNTIF(INDIRECT("'"&amp;Q4:Q13&amp;"'!N2:R11"),"Clone Soldier"))</f>
        <v>1</v>
      </c>
      <c r="E47" s="6">
        <f ca="1">SUMPRODUCT(COUNTIF(INDIRECT("'"&amp;Q4:Q13&amp;"'!N2:R11"),"Survivor"))</f>
        <v>0</v>
      </c>
      <c r="F47" s="6">
        <f ca="1">SUMPRODUCT(COUNTIF(INDIRECT("'"&amp;Q4:Q13&amp;"'!N2:R11"),"Void Dweller"))</f>
        <v>0</v>
      </c>
      <c r="G47" s="6">
        <f ca="1">SUMPRODUCT(COUNTIF(INDIRECT("'"&amp;Q4:Q13&amp;"'!N2:R11"),"Necrophage"))</f>
        <v>0</v>
      </c>
      <c r="H47" s="6">
        <f ca="1">SUMPRODUCT(COUNTIF(INDIRECT("'"&amp;Q4:Q13&amp;"'!N2:R11"),"Machine"))</f>
        <v>1</v>
      </c>
      <c r="I47" s="6">
        <f ca="1">SUMPRODUCT(COUNTIF(INDIRECT("'"&amp;Q4:Q13&amp;"'!N2:R11"),"Mechanical"))</f>
        <v>0</v>
      </c>
      <c r="J47" s="6">
        <f ca="1">SUMPRODUCT(COUNTIF(INDIRECT("'"&amp;Q4:Q13&amp;"'!N2:R11"),"Domestic Protocols"))</f>
        <v>0</v>
      </c>
      <c r="K47" s="6">
        <f ca="1">SUMPRODUCT(COUNTIF(INDIRECT("'"&amp;Q4:Q13&amp;"'!N2:R11"),"Double Jointed"))</f>
        <v>0</v>
      </c>
      <c r="L47" s="6">
        <f ca="1">SUMPRODUCT(COUNTIF(INDIRECT("'"&amp;Q4:Q13&amp;"'!N2:R11"),"Durable"))</f>
        <v>0</v>
      </c>
      <c r="M47" s="61">
        <f ca="1">SUMPRODUCT(COUNTIF(INDIRECT("'"&amp;Q4:Q13&amp;"'!N2:R11"),"Efficient Processors"))</f>
        <v>0</v>
      </c>
      <c r="O47" s="56"/>
    </row>
    <row r="48" spans="1:15" x14ac:dyDescent="0.25">
      <c r="A48" s="5"/>
      <c r="B48" s="5"/>
      <c r="C48" s="25" t="s">
        <v>292</v>
      </c>
      <c r="D48" s="25" t="s">
        <v>293</v>
      </c>
      <c r="E48" s="25" t="s">
        <v>294</v>
      </c>
      <c r="F48" s="25" t="s">
        <v>295</v>
      </c>
      <c r="G48" s="25" t="s">
        <v>296</v>
      </c>
      <c r="H48" s="25" t="s">
        <v>297</v>
      </c>
      <c r="I48" s="25" t="s">
        <v>298</v>
      </c>
      <c r="J48" s="25" t="s">
        <v>299</v>
      </c>
      <c r="K48" s="25" t="s">
        <v>301</v>
      </c>
      <c r="L48" s="25" t="s">
        <v>300</v>
      </c>
      <c r="M48" s="59" t="s">
        <v>326</v>
      </c>
      <c r="O48" s="56"/>
    </row>
    <row r="49" spans="1:15" x14ac:dyDescent="0.25">
      <c r="A49" s="5"/>
      <c r="B49" s="5"/>
      <c r="C49" s="6">
        <f ca="1">SUMPRODUCT(COUNTIF(INDIRECT("'"&amp;Q4:Q13&amp;"'!N2:R11"),"Emotion Emulators"))</f>
        <v>0</v>
      </c>
      <c r="D49" s="6">
        <f ca="1">SUMPRODUCT(COUNTIF(INDIRECT("'"&amp;Q4:Q13&amp;"'!N2:R11"),"Enhanced Memory"))</f>
        <v>0</v>
      </c>
      <c r="E49" s="6">
        <f ca="1">SUMPRODUCT(COUNTIF(INDIRECT("'"&amp;Q4:Q13&amp;"'!N2:R11"),"Harvesters"))</f>
        <v>0</v>
      </c>
      <c r="F49" s="6">
        <f ca="1">SUMPRODUCT(COUNTIF(INDIRECT("'"&amp;Q4:Q13&amp;"'!N2:R11"),"Learning Algorithms"))</f>
        <v>0</v>
      </c>
      <c r="G49" s="6">
        <f ca="1">SUMPRODUCT(COUNTIF(INDIRECT("'"&amp;Q4:Q13&amp;"'!N2:R11"),"Logic Engines"))</f>
        <v>0</v>
      </c>
      <c r="H49" s="6">
        <f ca="1">SUMPRODUCT(COUNTIF(INDIRECT("'"&amp;Q4:Q13&amp;"'!N2:R11"),"Loyalty Circuits"))</f>
        <v>0</v>
      </c>
      <c r="I49" s="6">
        <f ca="1">SUMPRODUCT(COUNTIF(INDIRECT("'"&amp;Q4:Q13&amp;"'!N2:R11"),"Mass-Produced"))</f>
        <v>1</v>
      </c>
      <c r="J49" s="58">
        <f ca="1">SUMPRODUCT(COUNTIF(INDIRECT("'"&amp;Q4:Q13&amp;"'!N2:R11"),"Power Drills"))</f>
        <v>0</v>
      </c>
      <c r="K49" s="58">
        <f ca="1">SUMPRODUCT(COUNTIF(INDIRECT("'"&amp;Q4:Q13&amp;"'!N2:R11"),"Propaganda Machines"))</f>
        <v>0</v>
      </c>
      <c r="L49" s="58">
        <f ca="1">SUMPRODUCT(COUNTIF(INDIRECT("'"&amp;Q4:Q13&amp;"'!N2:R11"),"Recycled"))</f>
        <v>0</v>
      </c>
      <c r="M49" s="62">
        <f ca="1">SUMPRODUCT(COUNTIF(INDIRECT("'"&amp;Q4:Q13&amp;"'!N2:R11"),"Streamlined Protocols"))</f>
        <v>1</v>
      </c>
      <c r="O49" s="56"/>
    </row>
    <row r="50" spans="1:15" x14ac:dyDescent="0.25">
      <c r="A50" s="5"/>
      <c r="B50" s="5"/>
      <c r="C50" s="25" t="s">
        <v>302</v>
      </c>
      <c r="D50" s="25" t="s">
        <v>327</v>
      </c>
      <c r="E50" s="25" t="s">
        <v>68</v>
      </c>
      <c r="J50" s="6"/>
      <c r="K50" s="6"/>
      <c r="L50" s="6"/>
      <c r="M50" s="7"/>
      <c r="O50" s="56"/>
    </row>
    <row r="51" spans="1:15" ht="15.75" thickBot="1" x14ac:dyDescent="0.3">
      <c r="A51" s="5"/>
      <c r="B51" s="8"/>
      <c r="C51" s="9">
        <f ca="1">SUMPRODUCT(COUNTIF(INDIRECT("'"&amp;Q4:Q13&amp;"'!N2:R11"),"Superconductive"))</f>
        <v>0</v>
      </c>
      <c r="D51" s="9">
        <f ca="1">SUMPRODUCT(COUNTIF(INDIRECT("'"&amp;Q4:Q13&amp;"'!N2:R11"),"Hive-Minded"))</f>
        <v>2</v>
      </c>
      <c r="E51" s="9">
        <f ca="1">SUMPRODUCT(COUNTIF(INDIRECT("'"&amp;Q4:Q13&amp;"'!N2:R11"),"Aquatic"))</f>
        <v>1</v>
      </c>
      <c r="J51" s="9"/>
      <c r="K51" s="9"/>
      <c r="L51" s="9"/>
      <c r="M51" s="10"/>
      <c r="N51" s="18"/>
      <c r="O51" s="57"/>
    </row>
    <row r="52" spans="1:15" ht="15.75" thickTop="1" x14ac:dyDescent="0.25">
      <c r="A52" s="5"/>
      <c r="B52" s="22" t="s">
        <v>333</v>
      </c>
      <c r="C52" s="23" t="s">
        <v>253</v>
      </c>
      <c r="D52" s="23" t="s">
        <v>254</v>
      </c>
      <c r="E52" s="23" t="s">
        <v>255</v>
      </c>
      <c r="F52" s="23" t="s">
        <v>256</v>
      </c>
      <c r="G52" s="23" t="s">
        <v>257</v>
      </c>
      <c r="H52" s="23" t="s">
        <v>266</v>
      </c>
      <c r="I52" s="23" t="s">
        <v>258</v>
      </c>
      <c r="J52" s="23" t="s">
        <v>259</v>
      </c>
      <c r="K52" s="23" t="s">
        <v>260</v>
      </c>
      <c r="L52" s="23" t="s">
        <v>261</v>
      </c>
      <c r="M52" s="24" t="s">
        <v>262</v>
      </c>
      <c r="O52" s="55">
        <f ca="1">SUM(B53:M55)</f>
        <v>18</v>
      </c>
    </row>
    <row r="53" spans="1:15" x14ac:dyDescent="0.25">
      <c r="A53" s="5"/>
      <c r="B53" s="5"/>
      <c r="C53" s="6">
        <f ca="1">SUMPRODUCT(COUNTIF(INDIRECT("'"&amp;Q4:Q13&amp;"'!S2:T11"),"Nonadaptive"))</f>
        <v>0</v>
      </c>
      <c r="D53" s="6">
        <f ca="1">SUMPRODUCT(COUNTIF(INDIRECT("'"&amp;Q4:Q13&amp;"'!S2:T11"),"Repugnant"))</f>
        <v>0</v>
      </c>
      <c r="E53" s="6">
        <f ca="1">SUMPRODUCT(COUNTIF(INDIRECT("'"&amp;Q4:Q13&amp;"'!S2:T11"),"Solitary"))</f>
        <v>3</v>
      </c>
      <c r="F53" s="6">
        <f ca="1">SUMPRODUCT(COUNTIF(INDIRECT("'"&amp;Q4:Q13&amp;"'!S2:T11"),"Deviants"))</f>
        <v>1</v>
      </c>
      <c r="G53" s="6">
        <f ca="1">SUMPRODUCT(COUNTIF(INDIRECT("'"&amp;Q4:Q13&amp;"'!S2:T11"),"Wasteful"))</f>
        <v>1</v>
      </c>
      <c r="H53" s="6">
        <f ca="1">SUMPRODUCT(COUNTIF(INDIRECT("'"&amp;Q4:Q13&amp;"'!S2:T11"),"Unruly"))</f>
        <v>3</v>
      </c>
      <c r="I53" s="6">
        <f ca="1">SUMPRODUCT(COUNTIF(INDIRECT("'"&amp;Q4:Q13&amp;"'!S2:T11"),"Fleeting"))</f>
        <v>1</v>
      </c>
      <c r="J53" s="6">
        <f ca="1">SUMPRODUCT(COUNTIF(INDIRECT("'"&amp;Q4:Q13&amp;"'!S2:T11"),"Sedentary"))</f>
        <v>4</v>
      </c>
      <c r="K53" s="6">
        <f ca="1">SUMPRODUCT(COUNTIF(INDIRECT("'"&amp;Q4:Q13&amp;"'!S2:T11"),"Slow Learners"))</f>
        <v>1</v>
      </c>
      <c r="L53" s="6">
        <f ca="1">SUMPRODUCT(COUNTIF(INDIRECT("'"&amp;Q4:Q13&amp;"'!S2:T11"),"Slow Breeders"))</f>
        <v>1</v>
      </c>
      <c r="M53" s="7">
        <f ca="1">SUMPRODUCT(COUNTIF(INDIRECT("'"&amp;Q4:Q13&amp;"'!S2:T11"),"Weak"))</f>
        <v>1</v>
      </c>
      <c r="O53" s="56"/>
    </row>
    <row r="54" spans="1:15" x14ac:dyDescent="0.25">
      <c r="A54" s="5"/>
      <c r="B54" s="5"/>
      <c r="C54" s="25" t="s">
        <v>263</v>
      </c>
      <c r="D54" s="25" t="s">
        <v>277</v>
      </c>
      <c r="E54" s="25" t="s">
        <v>303</v>
      </c>
      <c r="F54" s="25" t="s">
        <v>304</v>
      </c>
      <c r="G54" s="25" t="s">
        <v>305</v>
      </c>
      <c r="H54" s="25" t="s">
        <v>306</v>
      </c>
      <c r="I54" s="25" t="s">
        <v>307</v>
      </c>
      <c r="J54" s="25" t="s">
        <v>308</v>
      </c>
      <c r="K54" s="25" t="s">
        <v>309</v>
      </c>
      <c r="L54" s="6"/>
      <c r="M54" s="7"/>
      <c r="O54" s="56"/>
    </row>
    <row r="55" spans="1:15" ht="15.75" thickBot="1" x14ac:dyDescent="0.3">
      <c r="A55" s="8"/>
      <c r="B55" s="8"/>
      <c r="C55" s="9">
        <f ca="1">SUMPRODUCT(COUNTIF(INDIRECT("'"&amp;Q4:Q13&amp;"'!S2:T11"),"Decadent"))</f>
        <v>0</v>
      </c>
      <c r="D55" s="9">
        <f ca="1">SUMPRODUCT(COUNTIF(INDIRECT("'"&amp;Q4:Q13&amp;"'!S2:T11"),"Quarrelsome"))</f>
        <v>0</v>
      </c>
      <c r="E55" s="9">
        <f ca="1">SUMPRODUCT(COUNTIF(INDIRECT("'"&amp;Q4:Q13&amp;"'!S2:T11"),"Bulky"))</f>
        <v>1</v>
      </c>
      <c r="F55" s="9">
        <f ca="1">SUMPRODUCT(COUNTIF(INDIRECT("'"&amp;Q4:Q13&amp;"'!S2:T11"),"High Maintenance"))</f>
        <v>1</v>
      </c>
      <c r="G55" s="9">
        <f ca="1">SUMPRODUCT(COUNTIF(INDIRECT("'"&amp;Q4:Q13&amp;"'!S2:T11"),"Uncanny"))</f>
        <v>0</v>
      </c>
      <c r="H55" s="9">
        <f ca="1">SUMPRODUCT(COUNTIF(INDIRECT("'"&amp;Q4:Q13&amp;"'!S2:T11"),"Repurposed Hardware"))</f>
        <v>0</v>
      </c>
      <c r="I55" s="9">
        <f ca="1">SUMPRODUCT(COUNTIF(INDIRECT("'"&amp;Q4:Q13&amp;"'!S2:T11"),"Custom-Made"))</f>
        <v>0</v>
      </c>
      <c r="J55" s="9">
        <f ca="1">SUMPRODUCT(COUNTIF(INDIRECT("'"&amp;Q4:Q13&amp;"'!S2:T11"),"Luxurious"))</f>
        <v>0</v>
      </c>
      <c r="K55" s="9">
        <f ca="1">SUMPRODUCT(COUNTIF(INDIRECT("'"&amp;Q4:Q13&amp;"'!S2:T11"),"High Bandwidth"))</f>
        <v>0</v>
      </c>
      <c r="L55" s="9"/>
      <c r="M55" s="10"/>
      <c r="N55" s="18"/>
      <c r="O55" s="57"/>
    </row>
    <row r="56" spans="1:15" ht="15.75" thickTop="1" x14ac:dyDescent="0.25">
      <c r="A56" s="16" t="s">
        <v>214</v>
      </c>
      <c r="B56" s="17"/>
      <c r="C56" s="33" t="s">
        <v>80</v>
      </c>
      <c r="D56" s="33" t="s">
        <v>77</v>
      </c>
      <c r="E56" s="33" t="s">
        <v>74</v>
      </c>
      <c r="F56" s="33" t="s">
        <v>73</v>
      </c>
      <c r="G56" s="33" t="s">
        <v>72</v>
      </c>
      <c r="H56" s="33" t="s">
        <v>76</v>
      </c>
      <c r="I56" s="33" t="s">
        <v>75</v>
      </c>
      <c r="J56" s="33" t="s">
        <v>78</v>
      </c>
      <c r="K56" s="33" t="s">
        <v>81</v>
      </c>
      <c r="L56" s="33" t="s">
        <v>79</v>
      </c>
      <c r="M56" s="34" t="s">
        <v>375</v>
      </c>
    </row>
    <row r="57" spans="1:15" x14ac:dyDescent="0.25">
      <c r="A57" s="5"/>
      <c r="B57" s="6" t="s">
        <v>206</v>
      </c>
      <c r="C57" s="6">
        <f ca="1">IFERROR(AVERAGE(INDIRECT("'"&amp;Q4&amp;"'!W2:W11")),"No Input")</f>
        <v>11.5</v>
      </c>
      <c r="D57" s="6" t="str">
        <f ca="1">IFERROR(AVERAGE(INDIRECT("'"&amp;Q5&amp;"'!W2:W11")),"No Input")</f>
        <v>No Input</v>
      </c>
      <c r="E57" s="6" t="str">
        <f ca="1">IFERROR(AVERAGE(INDIRECT("'"&amp;Q6&amp;"'!W2:W11")),"No Input")</f>
        <v>No Input</v>
      </c>
      <c r="F57" s="6" t="str">
        <f ca="1">IFERROR(AVERAGE(INDIRECT("'"&amp;Q7&amp;"'!W2:W11")),"No Input")</f>
        <v>No Input</v>
      </c>
      <c r="G57" s="6" t="str">
        <f ca="1">IFERROR(AVERAGE(INDIRECT("'"&amp;Q8&amp;"'!W2:W11")),"No Input")</f>
        <v>No Input</v>
      </c>
      <c r="H57" s="6" t="str">
        <f ca="1">IFERROR(AVERAGE(INDIRECT("'"&amp;Q9&amp;"'!W2:W11")),"No Input")</f>
        <v>No Input</v>
      </c>
      <c r="I57" s="6" t="str">
        <f ca="1">IFERROR(AVERAGE(INDIRECT("'"&amp;Q10&amp;"'!W2:W11")),"No Input")</f>
        <v>No Input</v>
      </c>
      <c r="J57" s="6" t="str">
        <f ca="1">IFERROR(AVERAGEIF(INDIRECT("'"&amp;Q11&amp;"'!W2:W11"),"&lt;&gt;False"),"No Input")</f>
        <v>No Input</v>
      </c>
      <c r="K57" s="6" t="str">
        <f ca="1">IFERROR(AVERAGEIF(INDIRECT("'"&amp;Q12&amp;"'!W2:W11"),"&lt;&gt;0"),"No Input")</f>
        <v>No Input</v>
      </c>
      <c r="L57" s="6" t="str">
        <f ca="1">IFERROR(AVERAGEIF(INDIRECT("'"&amp;Q13&amp;"'!W2:W11"),"&lt;&gt;0"),"No Input")</f>
        <v>No Input</v>
      </c>
      <c r="M57" s="37">
        <f ca="1">IFERROR(AVERAGEIF(C57:L57,"&lt;&gt;0"), "No Input")</f>
        <v>11.5</v>
      </c>
    </row>
    <row r="58" spans="1:15" x14ac:dyDescent="0.25">
      <c r="A58" s="5"/>
      <c r="B58" s="6" t="s">
        <v>207</v>
      </c>
      <c r="C58" s="6">
        <f ca="1">MIN(INDIRECT("'"&amp;Q4&amp;"'!W2:W11"))</f>
        <v>8</v>
      </c>
      <c r="D58" s="6">
        <f ca="1">MIN(INDIRECT("'"&amp;Q5&amp;"'!W2:W11"))</f>
        <v>0</v>
      </c>
      <c r="E58" s="6">
        <f ca="1">MIN(INDIRECT("'"&amp;Q6&amp;"'!W2:W11"))</f>
        <v>0</v>
      </c>
      <c r="F58" s="6">
        <f ca="1">MIN(INDIRECT("'"&amp;Q7&amp;"'!W2:W11"))</f>
        <v>0</v>
      </c>
      <c r="G58" s="6">
        <f ca="1">MIN(INDIRECT("'"&amp;Q8&amp;"'!W2:W11"))</f>
        <v>0</v>
      </c>
      <c r="H58" s="6">
        <f ca="1">MIN(INDIRECT("'"&amp;Q9&amp;"'!W2:W11"))</f>
        <v>0</v>
      </c>
      <c r="I58" s="6">
        <f ca="1">MIN(INDIRECT("'"&amp;Q10&amp;"'!W2:W11"))</f>
        <v>0</v>
      </c>
      <c r="J58" s="6">
        <f ca="1">MIN(INDIRECT("'"&amp;Q11&amp;"'!W2:W11"))</f>
        <v>0</v>
      </c>
      <c r="K58" s="6">
        <f ca="1">MIN(INDIRECT("'"&amp;Q12&amp;"'!W2:W11"))</f>
        <v>0</v>
      </c>
      <c r="L58" s="6">
        <f ca="1">MIN(INDIRECT("'"&amp;Q13&amp;"'!W2:W11"))</f>
        <v>0</v>
      </c>
      <c r="M58" s="37">
        <f ca="1">AVERAGEIF(C58:L58,"&lt;&gt;0")</f>
        <v>8</v>
      </c>
    </row>
    <row r="59" spans="1:15" ht="15.75" thickBot="1" x14ac:dyDescent="0.3">
      <c r="A59" s="8"/>
      <c r="B59" s="9" t="s">
        <v>208</v>
      </c>
      <c r="C59" s="9">
        <f ca="1">MAX(INDIRECT("'"&amp;Q4&amp;"'!W2:W11"))</f>
        <v>19</v>
      </c>
      <c r="D59" s="9">
        <f ca="1">MAX(INDIRECT("'"&amp;Q5&amp;"'!W2:W11"))</f>
        <v>0</v>
      </c>
      <c r="E59" s="9">
        <f ca="1">MAX(INDIRECT("'"&amp;Q6&amp;"'!W2:W11"))</f>
        <v>0</v>
      </c>
      <c r="F59" s="9">
        <f ca="1">MAX(INDIRECT("'"&amp;Q7&amp;"'!W2:W11"))</f>
        <v>0</v>
      </c>
      <c r="G59" s="9">
        <f ca="1">MAX(INDIRECT("'"&amp;Q8&amp;"'!W2:W11"))</f>
        <v>0</v>
      </c>
      <c r="H59" s="9">
        <f ca="1">MAX(INDIRECT("'"&amp;Q9&amp;"'!W2:W11"))</f>
        <v>0</v>
      </c>
      <c r="I59" s="9">
        <f ca="1">MAX(INDIRECT("'"&amp;Q10&amp;"'!W2:W11"))</f>
        <v>0</v>
      </c>
      <c r="J59" s="9">
        <f ca="1">MIN(INDIRECT("'"&amp;Q11&amp;"'!W2:W11"))</f>
        <v>0</v>
      </c>
      <c r="K59" s="9">
        <f ca="1">MIN(INDIRECT("'"&amp;Q12&amp;"'!W2:W11"))</f>
        <v>0</v>
      </c>
      <c r="L59" s="9">
        <f ca="1">MIN(INDIRECT("'"&amp;Q13&amp;"'!W2:W11"))</f>
        <v>0</v>
      </c>
      <c r="M59" s="38">
        <f ca="1">AVERAGEIF(C59:L59,"&lt;&gt;0")</f>
        <v>19</v>
      </c>
    </row>
    <row r="60" spans="1:15" ht="15.75" thickTop="1" x14ac:dyDescent="0.25">
      <c r="A60" s="16" t="s">
        <v>216</v>
      </c>
      <c r="B60" s="3"/>
      <c r="C60" s="3"/>
      <c r="D60" s="3"/>
      <c r="E60" s="3"/>
      <c r="F60" s="3"/>
      <c r="G60" s="3"/>
      <c r="H60" s="3"/>
      <c r="I60" s="4"/>
      <c r="J60" s="16" t="s">
        <v>377</v>
      </c>
      <c r="K60" s="3"/>
      <c r="L60" s="4"/>
    </row>
    <row r="61" spans="1:15" x14ac:dyDescent="0.25">
      <c r="A61" s="5"/>
      <c r="B61" s="28" t="s">
        <v>109</v>
      </c>
      <c r="C61" s="28" t="s">
        <v>388</v>
      </c>
      <c r="D61" s="28" t="s">
        <v>110</v>
      </c>
      <c r="E61" s="28" t="s">
        <v>389</v>
      </c>
      <c r="F61" s="28" t="s">
        <v>111</v>
      </c>
      <c r="G61" s="28" t="s">
        <v>390</v>
      </c>
      <c r="H61" s="28" t="s">
        <v>112</v>
      </c>
      <c r="I61" s="29" t="s">
        <v>391</v>
      </c>
      <c r="J61" s="30" t="s">
        <v>114</v>
      </c>
      <c r="K61" s="31" t="s">
        <v>116</v>
      </c>
      <c r="L61" s="32" t="s">
        <v>115</v>
      </c>
    </row>
    <row r="62" spans="1:15" x14ac:dyDescent="0.25">
      <c r="A62" s="5" t="s">
        <v>80</v>
      </c>
      <c r="B62" s="6">
        <f t="shared" ref="B62:B71" ca="1" si="0">SUMPRODUCT(COUNTIF(INDIRECT("'"&amp;Q4&amp;"'!X2:X11"),"North"))</f>
        <v>1</v>
      </c>
      <c r="C62" s="6">
        <f t="shared" ref="C62:C71" ca="1" si="1">SUMPRODUCT(COUNTIF(INDIRECT("'"&amp;Q4&amp;"'!X2:X11"),"North East"))</f>
        <v>1</v>
      </c>
      <c r="D62" s="6">
        <f t="shared" ref="D62:D71" ca="1" si="2">SUMPRODUCT(COUNTIF(INDIRECT("'"&amp;Q4&amp;"'!X2:X11"),"East"))</f>
        <v>2</v>
      </c>
      <c r="E62" s="6">
        <f t="shared" ref="E62:E71" ca="1" si="3">SUMPRODUCT(COUNTIF(INDIRECT("'"&amp;Q4&amp;"'!X2:X11"),"South East"))</f>
        <v>1</v>
      </c>
      <c r="F62" s="6">
        <f t="shared" ref="F62:F71" ca="1" si="4">SUMPRODUCT(COUNTIF(INDIRECT("'"&amp;Q4&amp;"'!X2:X11"),"South"))</f>
        <v>2</v>
      </c>
      <c r="G62" s="6">
        <f t="shared" ref="G62:G71" ca="1" si="5">SUMPRODUCT(COUNTIF(INDIRECT("'"&amp;Q4&amp;"'!X2:X11"),"South West"))</f>
        <v>1</v>
      </c>
      <c r="H62" s="6">
        <f t="shared" ref="H62:H71" ca="1" si="6">SUMPRODUCT(COUNTIF(INDIRECT("'"&amp;Q4&amp;"'!X2:X11"),"West"))</f>
        <v>1</v>
      </c>
      <c r="I62" s="7">
        <f t="shared" ref="I62:I71" ca="1" si="7">SUMPRODUCT(COUNTIF(INDIRECT("'"&amp;Q4&amp;"'!X2:X11"),"North West"))</f>
        <v>1</v>
      </c>
      <c r="J62" s="5">
        <f t="shared" ref="J62:J69" ca="1" si="8">SUMPRODUCT(COUNTIF(INDIRECT("'"&amp;Q4&amp;"'!Y2:Y11"),"Inner Rim"))</f>
        <v>1</v>
      </c>
      <c r="K62" s="6">
        <f t="shared" ref="K62:K71" ca="1" si="9">SUMPRODUCT(COUNTIF(INDIRECT("'"&amp;Q4&amp;"'!Y2:Y11"),"Middle Rim"))</f>
        <v>3</v>
      </c>
      <c r="L62" s="7">
        <f t="shared" ref="L62:L71" ca="1" si="10">SUMPRODUCT(COUNTIF(INDIRECT("'"&amp;Q4&amp;"'!Y2:Y11"),"Outer Rim"))</f>
        <v>6</v>
      </c>
    </row>
    <row r="63" spans="1:15" x14ac:dyDescent="0.25">
      <c r="A63" s="5" t="s">
        <v>77</v>
      </c>
      <c r="B63" s="6">
        <f t="shared" ca="1" si="0"/>
        <v>0</v>
      </c>
      <c r="C63" s="6">
        <f t="shared" ca="1" si="1"/>
        <v>0</v>
      </c>
      <c r="D63" s="6">
        <f t="shared" ca="1" si="2"/>
        <v>0</v>
      </c>
      <c r="E63" s="6">
        <f t="shared" ca="1" si="3"/>
        <v>0</v>
      </c>
      <c r="F63" s="6">
        <f t="shared" ca="1" si="4"/>
        <v>0</v>
      </c>
      <c r="G63" s="6">
        <f t="shared" ca="1" si="5"/>
        <v>0</v>
      </c>
      <c r="H63" s="6">
        <f t="shared" ca="1" si="6"/>
        <v>0</v>
      </c>
      <c r="I63" s="7">
        <f t="shared" ca="1" si="7"/>
        <v>0</v>
      </c>
      <c r="J63" s="5">
        <f t="shared" ca="1" si="8"/>
        <v>0</v>
      </c>
      <c r="K63" s="6">
        <f t="shared" ca="1" si="9"/>
        <v>0</v>
      </c>
      <c r="L63" s="7">
        <f t="shared" ca="1" si="10"/>
        <v>0</v>
      </c>
      <c r="N63" s="39"/>
    </row>
    <row r="64" spans="1:15" x14ac:dyDescent="0.25">
      <c r="A64" s="5" t="s">
        <v>74</v>
      </c>
      <c r="B64" s="6">
        <f t="shared" ca="1" si="0"/>
        <v>0</v>
      </c>
      <c r="C64" s="6">
        <f t="shared" ca="1" si="1"/>
        <v>0</v>
      </c>
      <c r="D64" s="6">
        <f t="shared" ca="1" si="2"/>
        <v>0</v>
      </c>
      <c r="E64" s="6">
        <f t="shared" ca="1" si="3"/>
        <v>0</v>
      </c>
      <c r="F64" s="6">
        <f t="shared" ca="1" si="4"/>
        <v>0</v>
      </c>
      <c r="G64" s="6">
        <f t="shared" ca="1" si="5"/>
        <v>0</v>
      </c>
      <c r="H64" s="6">
        <f t="shared" ca="1" si="6"/>
        <v>0</v>
      </c>
      <c r="I64" s="7">
        <f t="shared" ca="1" si="7"/>
        <v>0</v>
      </c>
      <c r="J64" s="5">
        <f t="shared" ca="1" si="8"/>
        <v>0</v>
      </c>
      <c r="K64" s="6">
        <f t="shared" ca="1" si="9"/>
        <v>0</v>
      </c>
      <c r="L64" s="7">
        <f t="shared" ca="1" si="10"/>
        <v>0</v>
      </c>
    </row>
    <row r="65" spans="1:12" x14ac:dyDescent="0.25">
      <c r="A65" s="5" t="s">
        <v>73</v>
      </c>
      <c r="B65" s="6">
        <f t="shared" ca="1" si="0"/>
        <v>0</v>
      </c>
      <c r="C65" s="6">
        <f t="shared" ca="1" si="1"/>
        <v>0</v>
      </c>
      <c r="D65" s="6">
        <f t="shared" ca="1" si="2"/>
        <v>0</v>
      </c>
      <c r="E65" s="6">
        <f t="shared" ca="1" si="3"/>
        <v>0</v>
      </c>
      <c r="F65" s="6">
        <f t="shared" ca="1" si="4"/>
        <v>0</v>
      </c>
      <c r="G65" s="6">
        <f t="shared" ca="1" si="5"/>
        <v>0</v>
      </c>
      <c r="H65" s="6">
        <f t="shared" ca="1" si="6"/>
        <v>0</v>
      </c>
      <c r="I65" s="7">
        <f t="shared" ca="1" si="7"/>
        <v>0</v>
      </c>
      <c r="J65" s="5">
        <f t="shared" ca="1" si="8"/>
        <v>0</v>
      </c>
      <c r="K65" s="6">
        <f t="shared" ca="1" si="9"/>
        <v>0</v>
      </c>
      <c r="L65" s="7">
        <f t="shared" ca="1" si="10"/>
        <v>0</v>
      </c>
    </row>
    <row r="66" spans="1:12" x14ac:dyDescent="0.25">
      <c r="A66" s="5" t="s">
        <v>72</v>
      </c>
      <c r="B66" s="6">
        <f t="shared" ca="1" si="0"/>
        <v>0</v>
      </c>
      <c r="C66" s="6">
        <f t="shared" ca="1" si="1"/>
        <v>0</v>
      </c>
      <c r="D66" s="6">
        <f t="shared" ca="1" si="2"/>
        <v>0</v>
      </c>
      <c r="E66" s="6">
        <f t="shared" ca="1" si="3"/>
        <v>0</v>
      </c>
      <c r="F66" s="6">
        <f t="shared" ca="1" si="4"/>
        <v>0</v>
      </c>
      <c r="G66" s="6">
        <f t="shared" ca="1" si="5"/>
        <v>0</v>
      </c>
      <c r="H66" s="6">
        <f t="shared" ca="1" si="6"/>
        <v>0</v>
      </c>
      <c r="I66" s="7">
        <f t="shared" ca="1" si="7"/>
        <v>0</v>
      </c>
      <c r="J66" s="5">
        <f t="shared" ca="1" si="8"/>
        <v>0</v>
      </c>
      <c r="K66" s="6">
        <f t="shared" ca="1" si="9"/>
        <v>0</v>
      </c>
      <c r="L66" s="7">
        <f t="shared" ca="1" si="10"/>
        <v>0</v>
      </c>
    </row>
    <row r="67" spans="1:12" x14ac:dyDescent="0.25">
      <c r="A67" s="5" t="s">
        <v>76</v>
      </c>
      <c r="B67" s="6">
        <f t="shared" ca="1" si="0"/>
        <v>0</v>
      </c>
      <c r="C67" s="6">
        <f t="shared" ca="1" si="1"/>
        <v>0</v>
      </c>
      <c r="D67" s="6">
        <f t="shared" ca="1" si="2"/>
        <v>0</v>
      </c>
      <c r="E67" s="6">
        <f t="shared" ca="1" si="3"/>
        <v>0</v>
      </c>
      <c r="F67" s="6">
        <f t="shared" ca="1" si="4"/>
        <v>0</v>
      </c>
      <c r="G67" s="6">
        <f t="shared" ca="1" si="5"/>
        <v>0</v>
      </c>
      <c r="H67" s="6">
        <f t="shared" ca="1" si="6"/>
        <v>0</v>
      </c>
      <c r="I67" s="7">
        <f t="shared" ca="1" si="7"/>
        <v>0</v>
      </c>
      <c r="J67" s="5">
        <f t="shared" ca="1" si="8"/>
        <v>0</v>
      </c>
      <c r="K67" s="6">
        <f t="shared" ca="1" si="9"/>
        <v>0</v>
      </c>
      <c r="L67" s="7">
        <f t="shared" ca="1" si="10"/>
        <v>0</v>
      </c>
    </row>
    <row r="68" spans="1:12" x14ac:dyDescent="0.25">
      <c r="A68" s="5" t="s">
        <v>75</v>
      </c>
      <c r="B68" s="6">
        <f t="shared" ca="1" si="0"/>
        <v>0</v>
      </c>
      <c r="C68" s="6">
        <f t="shared" ca="1" si="1"/>
        <v>0</v>
      </c>
      <c r="D68" s="6">
        <f t="shared" ca="1" si="2"/>
        <v>0</v>
      </c>
      <c r="E68" s="6">
        <f t="shared" ca="1" si="3"/>
        <v>0</v>
      </c>
      <c r="F68" s="6">
        <f t="shared" ca="1" si="4"/>
        <v>0</v>
      </c>
      <c r="G68" s="6">
        <f t="shared" ca="1" si="5"/>
        <v>0</v>
      </c>
      <c r="H68" s="6">
        <f t="shared" ca="1" si="6"/>
        <v>0</v>
      </c>
      <c r="I68" s="7">
        <f t="shared" ca="1" si="7"/>
        <v>0</v>
      </c>
      <c r="J68" s="5">
        <f t="shared" ca="1" si="8"/>
        <v>0</v>
      </c>
      <c r="K68" s="6">
        <f t="shared" ca="1" si="9"/>
        <v>0</v>
      </c>
      <c r="L68" s="7">
        <f t="shared" ca="1" si="10"/>
        <v>0</v>
      </c>
    </row>
    <row r="69" spans="1:12" x14ac:dyDescent="0.25">
      <c r="A69" s="5" t="s">
        <v>78</v>
      </c>
      <c r="B69" s="6">
        <f t="shared" ca="1" si="0"/>
        <v>0</v>
      </c>
      <c r="C69" s="6">
        <f t="shared" ca="1" si="1"/>
        <v>0</v>
      </c>
      <c r="D69" s="6">
        <f t="shared" ca="1" si="2"/>
        <v>0</v>
      </c>
      <c r="E69" s="6">
        <f t="shared" ca="1" si="3"/>
        <v>0</v>
      </c>
      <c r="F69" s="6">
        <f t="shared" ca="1" si="4"/>
        <v>0</v>
      </c>
      <c r="G69" s="6">
        <f t="shared" ca="1" si="5"/>
        <v>0</v>
      </c>
      <c r="H69" s="6">
        <f t="shared" ca="1" si="6"/>
        <v>0</v>
      </c>
      <c r="I69" s="7">
        <f t="shared" ca="1" si="7"/>
        <v>0</v>
      </c>
      <c r="J69" s="5">
        <f t="shared" ca="1" si="8"/>
        <v>0</v>
      </c>
      <c r="K69" s="6">
        <f t="shared" ca="1" si="9"/>
        <v>0</v>
      </c>
      <c r="L69" s="7">
        <f t="shared" ca="1" si="10"/>
        <v>0</v>
      </c>
    </row>
    <row r="70" spans="1:12" x14ac:dyDescent="0.25">
      <c r="A70" s="5" t="s">
        <v>81</v>
      </c>
      <c r="B70" s="6">
        <f t="shared" ca="1" si="0"/>
        <v>0</v>
      </c>
      <c r="C70" s="6">
        <f t="shared" ca="1" si="1"/>
        <v>0</v>
      </c>
      <c r="D70" s="6">
        <f t="shared" ca="1" si="2"/>
        <v>0</v>
      </c>
      <c r="E70" s="6">
        <f t="shared" ca="1" si="3"/>
        <v>0</v>
      </c>
      <c r="F70" s="6">
        <f t="shared" ca="1" si="4"/>
        <v>0</v>
      </c>
      <c r="G70" s="6">
        <f t="shared" ca="1" si="5"/>
        <v>0</v>
      </c>
      <c r="H70" s="6">
        <f t="shared" ca="1" si="6"/>
        <v>0</v>
      </c>
      <c r="I70" s="7">
        <f t="shared" ca="1" si="7"/>
        <v>0</v>
      </c>
      <c r="J70" s="5">
        <f ca="1">SUMPRODUCT(COUNTIF(INDIRECT("'"&amp;Q13&amp;"'!Y2:Y11"),"Inner Rim"))</f>
        <v>0</v>
      </c>
      <c r="K70" s="6">
        <f t="shared" ca="1" si="9"/>
        <v>0</v>
      </c>
      <c r="L70" s="7">
        <f t="shared" ca="1" si="10"/>
        <v>0</v>
      </c>
    </row>
    <row r="71" spans="1:12" ht="15.75" thickBot="1" x14ac:dyDescent="0.3">
      <c r="A71" s="5" t="s">
        <v>79</v>
      </c>
      <c r="B71" s="6">
        <f t="shared" ca="1" si="0"/>
        <v>0</v>
      </c>
      <c r="C71" s="6">
        <f t="shared" ca="1" si="1"/>
        <v>0</v>
      </c>
      <c r="D71" s="6">
        <f t="shared" ca="1" si="2"/>
        <v>0</v>
      </c>
      <c r="E71" s="6">
        <f t="shared" ca="1" si="3"/>
        <v>0</v>
      </c>
      <c r="F71" s="6">
        <f t="shared" ca="1" si="4"/>
        <v>0</v>
      </c>
      <c r="G71" s="6">
        <f t="shared" ca="1" si="5"/>
        <v>0</v>
      </c>
      <c r="H71" s="6">
        <f t="shared" ca="1" si="6"/>
        <v>0</v>
      </c>
      <c r="I71" s="7">
        <f t="shared" ca="1" si="7"/>
        <v>0</v>
      </c>
      <c r="J71" s="5">
        <f ca="1">SUMPRODUCT(COUNTIF(INDIRECT("'"&amp;Q13&amp;"'!Y2:Y11"),"Inner Rim"))</f>
        <v>0</v>
      </c>
      <c r="K71" s="6">
        <f t="shared" ca="1" si="9"/>
        <v>0</v>
      </c>
      <c r="L71" s="7">
        <f t="shared" ca="1" si="10"/>
        <v>0</v>
      </c>
    </row>
    <row r="72" spans="1:12" ht="16.5" thickTop="1" thickBot="1" x14ac:dyDescent="0.3">
      <c r="A72" s="35" t="s">
        <v>215</v>
      </c>
      <c r="B72" s="35">
        <f t="shared" ref="B72:L72" ca="1" si="11">SUM(B62:B71)</f>
        <v>1</v>
      </c>
      <c r="C72" s="35">
        <f t="shared" ca="1" si="11"/>
        <v>1</v>
      </c>
      <c r="D72" s="35">
        <f t="shared" ca="1" si="11"/>
        <v>2</v>
      </c>
      <c r="E72" s="35">
        <f t="shared" ca="1" si="11"/>
        <v>1</v>
      </c>
      <c r="F72" s="35">
        <f t="shared" ca="1" si="11"/>
        <v>2</v>
      </c>
      <c r="G72" s="35">
        <f t="shared" ca="1" si="11"/>
        <v>1</v>
      </c>
      <c r="H72" s="35">
        <f t="shared" ca="1" si="11"/>
        <v>1</v>
      </c>
      <c r="I72" s="35">
        <f t="shared" ca="1" si="11"/>
        <v>1</v>
      </c>
      <c r="J72" s="36">
        <f t="shared" ca="1" si="11"/>
        <v>1</v>
      </c>
      <c r="K72" s="36">
        <f t="shared" ca="1" si="11"/>
        <v>3</v>
      </c>
      <c r="L72" s="36">
        <f t="shared" ca="1" si="11"/>
        <v>6</v>
      </c>
    </row>
    <row r="73" spans="1:12" ht="15.75" thickTop="1" x14ac:dyDescent="0.25"/>
  </sheetData>
  <mergeCells count="5">
    <mergeCell ref="O39:O51"/>
    <mergeCell ref="O52:O55"/>
    <mergeCell ref="O23:O38"/>
    <mergeCell ref="O21:O22"/>
    <mergeCell ref="O17:O20"/>
  </mergeCells>
  <conditionalFormatting sqref="B6:M6 B8:F8">
    <cfRule type="dataBar" priority="25">
      <dataBar>
        <cfvo type="min"/>
        <cfvo type="max"/>
        <color rgb="FF638EC6"/>
      </dataBar>
      <extLst>
        <ext xmlns:x14="http://schemas.microsoft.com/office/spreadsheetml/2009/9/main" uri="{B025F937-C7B1-47D3-B67F-A62EFF666E3E}">
          <x14:id>{11092517-5068-476A-B442-C0F119A8CEFA}</x14:id>
        </ext>
      </extLst>
    </cfRule>
  </conditionalFormatting>
  <conditionalFormatting sqref="B10:M10 B12:I12">
    <cfRule type="dataBar" priority="24">
      <dataBar>
        <cfvo type="min"/>
        <cfvo type="max"/>
        <color rgb="FFFFB628"/>
      </dataBar>
      <extLst>
        <ext xmlns:x14="http://schemas.microsoft.com/office/spreadsheetml/2009/9/main" uri="{B025F937-C7B1-47D3-B67F-A62EFF666E3E}">
          <x14:id>{D52BFB9A-664D-4ADD-B451-B2C7499F0427}</x14:id>
        </ext>
      </extLst>
    </cfRule>
  </conditionalFormatting>
  <conditionalFormatting sqref="B22:H22">
    <cfRule type="dataBar" priority="23">
      <dataBar>
        <cfvo type="min"/>
        <cfvo type="max"/>
        <color rgb="FF63C384"/>
      </dataBar>
      <extLst>
        <ext xmlns:x14="http://schemas.microsoft.com/office/spreadsheetml/2009/9/main" uri="{B025F937-C7B1-47D3-B67F-A62EFF666E3E}">
          <x14:id>{3939B460-D293-4592-8F04-2D58598B9CB9}</x14:id>
        </ext>
      </extLst>
    </cfRule>
  </conditionalFormatting>
  <conditionalFormatting sqref="B2:M2 B4">
    <cfRule type="dataBar" priority="22">
      <dataBar>
        <cfvo type="min"/>
        <cfvo type="max"/>
        <color rgb="FF63C384"/>
      </dataBar>
      <extLst>
        <ext xmlns:x14="http://schemas.microsoft.com/office/spreadsheetml/2009/9/main" uri="{B025F937-C7B1-47D3-B67F-A62EFF666E3E}">
          <x14:id>{31FF25D5-0402-4DE5-9AF9-EF4840B8924C}</x14:id>
        </ext>
      </extLst>
    </cfRule>
  </conditionalFormatting>
  <conditionalFormatting sqref="B24:M24 B26:M26 B28:M28 B30:M30 B32:M32 B34:M34 B36:M36 B38:D38">
    <cfRule type="colorScale" priority="21">
      <colorScale>
        <cfvo type="min"/>
        <cfvo type="percentile" val="50"/>
        <cfvo type="max"/>
        <color rgb="FFF8696B"/>
        <color rgb="FFFFEB84"/>
        <color rgb="FF63BE7B"/>
      </colorScale>
    </cfRule>
  </conditionalFormatting>
  <conditionalFormatting sqref="C57:L59">
    <cfRule type="colorScale" priority="20">
      <colorScale>
        <cfvo type="min"/>
        <cfvo type="percentile" val="50"/>
        <cfvo type="max"/>
        <color rgb="FFF8696B"/>
        <color rgb="FFFCFCFF"/>
        <color rgb="FF5A8AC6"/>
      </colorScale>
    </cfRule>
  </conditionalFormatting>
  <conditionalFormatting sqref="B62:I71">
    <cfRule type="colorScale" priority="10">
      <colorScale>
        <cfvo type="min"/>
        <cfvo type="max"/>
        <color rgb="FFFCFCFF"/>
        <color rgb="FF63BE7B"/>
      </colorScale>
    </cfRule>
    <cfRule type="colorScale" priority="19">
      <colorScale>
        <cfvo type="min"/>
        <cfvo type="percentile" val="50"/>
        <cfvo type="max"/>
        <color rgb="FFF8696B"/>
        <color rgb="FFFFEB84"/>
        <color rgb="FF63BE7B"/>
      </colorScale>
    </cfRule>
  </conditionalFormatting>
  <conditionalFormatting sqref="J62:L72">
    <cfRule type="colorScale" priority="18">
      <colorScale>
        <cfvo type="min"/>
        <cfvo type="percentile" val="50"/>
        <cfvo type="max"/>
        <color rgb="FFF8696B"/>
        <color rgb="FFFFEB84"/>
        <color rgb="FF63BE7B"/>
      </colorScale>
    </cfRule>
  </conditionalFormatting>
  <conditionalFormatting sqref="B18:M18 B20:E20">
    <cfRule type="colorScale" priority="16">
      <colorScale>
        <cfvo type="min"/>
        <cfvo type="percentile" val="50"/>
        <cfvo type="max"/>
        <color rgb="FFF8696B"/>
        <color rgb="FFFFEB84"/>
        <color rgb="FF63BE7B"/>
      </colorScale>
    </cfRule>
  </conditionalFormatting>
  <conditionalFormatting sqref="C51:E51 C41:M41 C43:M43 D45:M45 C47:M47 C49:M49">
    <cfRule type="colorScale" priority="15">
      <colorScale>
        <cfvo type="min"/>
        <cfvo type="max"/>
        <color rgb="FFFCFCFF"/>
        <color rgb="FF63BE7B"/>
      </colorScale>
    </cfRule>
  </conditionalFormatting>
  <conditionalFormatting sqref="C55:K55 C53:M53">
    <cfRule type="colorScale" priority="14">
      <colorScale>
        <cfvo type="min"/>
        <cfvo type="max"/>
        <color rgb="FFFCFCFF"/>
        <color rgb="FF63BE7B"/>
      </colorScale>
    </cfRule>
  </conditionalFormatting>
  <conditionalFormatting sqref="B10:M10 B12:J12">
    <cfRule type="dataBar" priority="13">
      <dataBar>
        <cfvo type="min"/>
        <cfvo type="max"/>
        <color rgb="FFFFB628"/>
      </dataBar>
      <extLst>
        <ext xmlns:x14="http://schemas.microsoft.com/office/spreadsheetml/2009/9/main" uri="{B025F937-C7B1-47D3-B67F-A62EFF666E3E}">
          <x14:id>{69470638-8840-4D92-8159-A14DBC7F1640}</x14:id>
        </ext>
      </extLst>
    </cfRule>
  </conditionalFormatting>
  <conditionalFormatting sqref="B62:I71">
    <cfRule type="colorScale" priority="12">
      <colorScale>
        <cfvo type="min"/>
        <cfvo type="percentile" val="50"/>
        <cfvo type="max"/>
        <color rgb="FFF8696B"/>
        <color rgb="FFFFEB84"/>
        <color rgb="FF63BE7B"/>
      </colorScale>
    </cfRule>
  </conditionalFormatting>
  <conditionalFormatting sqref="J62:L71">
    <cfRule type="colorScale" priority="9">
      <colorScale>
        <cfvo type="min"/>
        <cfvo type="max"/>
        <color rgb="FFFCFCFF"/>
        <color rgb="FF63BE7B"/>
      </colorScale>
    </cfRule>
    <cfRule type="colorScale" priority="11">
      <colorScale>
        <cfvo type="min"/>
        <cfvo type="percentile" val="50"/>
        <cfvo type="max"/>
        <color rgb="FFF8696B"/>
        <color rgb="FFFFEB84"/>
        <color rgb="FF63BE7B"/>
      </colorScale>
    </cfRule>
  </conditionalFormatting>
  <conditionalFormatting sqref="B72:I72">
    <cfRule type="colorScale" priority="8">
      <colorScale>
        <cfvo type="min"/>
        <cfvo type="percentile" val="50"/>
        <cfvo type="max"/>
        <color rgb="FFF8696B"/>
        <color rgb="FFFFEB84"/>
        <color rgb="FF63BE7B"/>
      </colorScale>
    </cfRule>
  </conditionalFormatting>
  <conditionalFormatting sqref="J72:L72">
    <cfRule type="colorScale" priority="7">
      <colorScale>
        <cfvo type="min"/>
        <cfvo type="percentile" val="50"/>
        <cfvo type="max"/>
        <color rgb="FFF8696B"/>
        <color rgb="FFFFEB84"/>
        <color rgb="FF63BE7B"/>
      </colorScale>
    </cfRule>
  </conditionalFormatting>
  <conditionalFormatting sqref="B10:M10 B12:K12">
    <cfRule type="dataBar" priority="6">
      <dataBar>
        <cfvo type="min"/>
        <cfvo type="max"/>
        <color rgb="FFFFB628"/>
      </dataBar>
      <extLst>
        <ext xmlns:x14="http://schemas.microsoft.com/office/spreadsheetml/2009/9/main" uri="{B025F937-C7B1-47D3-B67F-A62EFF666E3E}">
          <x14:id>{DB008AD5-E4BC-4511-B665-F67E3EB25F3F}</x14:id>
        </ext>
      </extLst>
    </cfRule>
  </conditionalFormatting>
  <conditionalFormatting sqref="L12">
    <cfRule type="dataBar" priority="4">
      <dataBar>
        <cfvo type="min"/>
        <cfvo type="max"/>
        <color rgb="FFFFB628"/>
      </dataBar>
      <extLst>
        <ext xmlns:x14="http://schemas.microsoft.com/office/spreadsheetml/2009/9/main" uri="{B025F937-C7B1-47D3-B67F-A62EFF666E3E}">
          <x14:id>{FE9DE75D-3D3A-4ED4-ACA3-DABAB4F3CF4A}</x14:id>
        </ext>
      </extLst>
    </cfRule>
  </conditionalFormatting>
  <conditionalFormatting sqref="B10:M10 B12:M12 B14:D14">
    <cfRule type="dataBar" priority="3">
      <dataBar>
        <cfvo type="min"/>
        <cfvo type="max"/>
        <color rgb="FFFFB628"/>
      </dataBar>
      <extLst>
        <ext xmlns:x14="http://schemas.microsoft.com/office/spreadsheetml/2009/9/main" uri="{B025F937-C7B1-47D3-B67F-A62EFF666E3E}">
          <x14:id>{FE04780F-FA01-41F4-B5D4-71A504221422}</x14:id>
        </ext>
      </extLst>
    </cfRule>
  </conditionalFormatting>
  <conditionalFormatting sqref="B16:E16">
    <cfRule type="dataBar" priority="1">
      <dataBar>
        <cfvo type="min"/>
        <cfvo type="max"/>
        <color rgb="FF63C384"/>
      </dataBar>
      <extLst>
        <ext xmlns:x14="http://schemas.microsoft.com/office/spreadsheetml/2009/9/main" uri="{B025F937-C7B1-47D3-B67F-A62EFF666E3E}">
          <x14:id>{3E48C9F6-F165-47F9-8385-2C82904C7573}</x14:id>
        </ext>
      </extLst>
    </cfRule>
  </conditionalFormatting>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1092517-5068-476A-B442-C0F119A8CEFA}">
            <x14:dataBar minLength="0" maxLength="100" border="1" negativeBarBorderColorSameAsPositive="0">
              <x14:cfvo type="autoMin"/>
              <x14:cfvo type="autoMax"/>
              <x14:borderColor rgb="FF638EC6"/>
              <x14:negativeFillColor rgb="FFFF0000"/>
              <x14:negativeBorderColor rgb="FFFF0000"/>
              <x14:axisColor rgb="FF000000"/>
            </x14:dataBar>
          </x14:cfRule>
          <xm:sqref>B6:M6 B8:F8</xm:sqref>
        </x14:conditionalFormatting>
        <x14:conditionalFormatting xmlns:xm="http://schemas.microsoft.com/office/excel/2006/main">
          <x14:cfRule type="dataBar" id="{D52BFB9A-664D-4ADD-B451-B2C7499F0427}">
            <x14:dataBar minLength="0" maxLength="100" border="1" negativeBarBorderColorSameAsPositive="0">
              <x14:cfvo type="autoMin"/>
              <x14:cfvo type="autoMax"/>
              <x14:borderColor rgb="FFFFB628"/>
              <x14:negativeFillColor rgb="FFFF0000"/>
              <x14:negativeBorderColor rgb="FFFF0000"/>
              <x14:axisColor rgb="FF000000"/>
            </x14:dataBar>
          </x14:cfRule>
          <xm:sqref>B10:M10 B12:I12</xm:sqref>
        </x14:conditionalFormatting>
        <x14:conditionalFormatting xmlns:xm="http://schemas.microsoft.com/office/excel/2006/main">
          <x14:cfRule type="dataBar" id="{3939B460-D293-4592-8F04-2D58598B9CB9}">
            <x14:dataBar minLength="0" maxLength="100" border="1" negativeBarBorderColorSameAsPositive="0">
              <x14:cfvo type="autoMin"/>
              <x14:cfvo type="autoMax"/>
              <x14:borderColor rgb="FF63C384"/>
              <x14:negativeFillColor rgb="FFFF0000"/>
              <x14:negativeBorderColor rgb="FFFF0000"/>
              <x14:axisColor rgb="FF000000"/>
            </x14:dataBar>
          </x14:cfRule>
          <xm:sqref>B22:H22</xm:sqref>
        </x14:conditionalFormatting>
        <x14:conditionalFormatting xmlns:xm="http://schemas.microsoft.com/office/excel/2006/main">
          <x14:cfRule type="dataBar" id="{31FF25D5-0402-4DE5-9AF9-EF4840B8924C}">
            <x14:dataBar minLength="0" maxLength="100" border="1" negativeBarBorderColorSameAsPositive="0">
              <x14:cfvo type="autoMin"/>
              <x14:cfvo type="autoMax"/>
              <x14:borderColor rgb="FF63C384"/>
              <x14:negativeFillColor rgb="FFFF0000"/>
              <x14:negativeBorderColor rgb="FFFF0000"/>
              <x14:axisColor rgb="FF000000"/>
            </x14:dataBar>
          </x14:cfRule>
          <xm:sqref>B2:M2 B4</xm:sqref>
        </x14:conditionalFormatting>
        <x14:conditionalFormatting xmlns:xm="http://schemas.microsoft.com/office/excel/2006/main">
          <x14:cfRule type="dataBar" id="{69470638-8840-4D92-8159-A14DBC7F1640}">
            <x14:dataBar minLength="0" maxLength="100" border="1" negativeBarBorderColorSameAsPositive="0">
              <x14:cfvo type="autoMin"/>
              <x14:cfvo type="autoMax"/>
              <x14:borderColor rgb="FFFFB628"/>
              <x14:negativeFillColor rgb="FFFF0000"/>
              <x14:negativeBorderColor rgb="FFFF0000"/>
              <x14:axisColor rgb="FF000000"/>
            </x14:dataBar>
          </x14:cfRule>
          <xm:sqref>B10:M10 B12:J12</xm:sqref>
        </x14:conditionalFormatting>
        <x14:conditionalFormatting xmlns:xm="http://schemas.microsoft.com/office/excel/2006/main">
          <x14:cfRule type="dataBar" id="{DB008AD5-E4BC-4511-B665-F67E3EB25F3F}">
            <x14:dataBar minLength="0" maxLength="100" border="1" negativeBarBorderColorSameAsPositive="0">
              <x14:cfvo type="autoMin"/>
              <x14:cfvo type="autoMax"/>
              <x14:borderColor rgb="FFFFB628"/>
              <x14:negativeFillColor rgb="FFFF0000"/>
              <x14:negativeBorderColor rgb="FFFF0000"/>
              <x14:axisColor rgb="FF000000"/>
            </x14:dataBar>
          </x14:cfRule>
          <xm:sqref>B10:M10 B12:K12</xm:sqref>
        </x14:conditionalFormatting>
        <x14:conditionalFormatting xmlns:xm="http://schemas.microsoft.com/office/excel/2006/main">
          <x14:cfRule type="dataBar" id="{FE9DE75D-3D3A-4ED4-ACA3-DABAB4F3CF4A}">
            <x14:dataBar minLength="0" maxLength="100" border="1" negativeBarBorderColorSameAsPositive="0">
              <x14:cfvo type="autoMin"/>
              <x14:cfvo type="autoMax"/>
              <x14:borderColor rgb="FFFFB628"/>
              <x14:negativeFillColor rgb="FFFF0000"/>
              <x14:negativeBorderColor rgb="FFFF0000"/>
              <x14:axisColor rgb="FF000000"/>
            </x14:dataBar>
          </x14:cfRule>
          <xm:sqref>L12</xm:sqref>
        </x14:conditionalFormatting>
        <x14:conditionalFormatting xmlns:xm="http://schemas.microsoft.com/office/excel/2006/main">
          <x14:cfRule type="dataBar" id="{FE04780F-FA01-41F4-B5D4-71A504221422}">
            <x14:dataBar minLength="0" maxLength="100" border="1" negativeBarBorderColorSameAsPositive="0">
              <x14:cfvo type="autoMin"/>
              <x14:cfvo type="autoMax"/>
              <x14:borderColor rgb="FFFFB628"/>
              <x14:negativeFillColor rgb="FFFF0000"/>
              <x14:negativeBorderColor rgb="FFFF0000"/>
              <x14:axisColor rgb="FF000000"/>
            </x14:dataBar>
          </x14:cfRule>
          <xm:sqref>B10:M10 B12:M12 B14:D14</xm:sqref>
        </x14:conditionalFormatting>
        <x14:conditionalFormatting xmlns:xm="http://schemas.microsoft.com/office/excel/2006/main">
          <x14:cfRule type="dataBar" id="{3E48C9F6-F165-47F9-8385-2C82904C7573}">
            <x14:dataBar minLength="0" maxLength="100" border="1" negativeBarBorderColorSameAsPositive="0">
              <x14:cfvo type="autoMin"/>
              <x14:cfvo type="autoMax"/>
              <x14:borderColor rgb="FF63C384"/>
              <x14:negativeFillColor rgb="FFFF0000"/>
              <x14:negativeBorderColor rgb="FFFF0000"/>
              <x14:axisColor rgb="FF000000"/>
            </x14:dataBar>
          </x14:cfRule>
          <xm:sqref>B16:E16</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B074D-F909-41C3-B746-CB20E2FEE0E6}">
  <sheetPr codeName="Sheet15">
    <tabColor rgb="FFFFC000"/>
  </sheetPr>
  <dimension ref="A1:O310"/>
  <sheetViews>
    <sheetView showGridLines="0" showRowColHeaders="0" tabSelected="1" showRuler="0" topLeftCell="A2" zoomScale="70" zoomScaleNormal="70" workbookViewId="0">
      <selection activeCell="I30" sqref="I30"/>
    </sheetView>
  </sheetViews>
  <sheetFormatPr defaultRowHeight="15" x14ac:dyDescent="0.25"/>
  <cols>
    <col min="1" max="1" width="9.5703125" bestFit="1" customWidth="1"/>
    <col min="2" max="2" width="12.85546875" bestFit="1" customWidth="1"/>
    <col min="3" max="3" width="37.28515625" bestFit="1" customWidth="1"/>
    <col min="4" max="4" width="26.85546875" hidden="1" customWidth="1"/>
    <col min="5" max="5" width="24.28515625" bestFit="1" customWidth="1"/>
    <col min="6" max="6" width="13.5703125" hidden="1" customWidth="1"/>
    <col min="7" max="7" width="22.140625" bestFit="1" customWidth="1"/>
    <col min="8" max="8" width="15.7109375" bestFit="1" customWidth="1"/>
    <col min="9" max="9" width="11" bestFit="1" customWidth="1"/>
    <col min="10" max="10" width="21" bestFit="1" customWidth="1"/>
    <col min="11" max="11" width="23.42578125" bestFit="1" customWidth="1"/>
    <col min="12" max="12" width="9.5703125" bestFit="1" customWidth="1"/>
    <col min="13" max="13" width="15.7109375" bestFit="1" customWidth="1"/>
    <col min="14" max="14" width="25.42578125" bestFit="1" customWidth="1"/>
    <col min="15" max="16" width="23.42578125" bestFit="1" customWidth="1"/>
    <col min="17" max="17" width="29.42578125" bestFit="1" customWidth="1"/>
    <col min="18" max="18" width="26.85546875" bestFit="1" customWidth="1"/>
    <col min="19" max="19" width="19.85546875" bestFit="1" customWidth="1"/>
    <col min="20" max="20" width="18.28515625" bestFit="1" customWidth="1"/>
    <col min="21" max="21" width="13.5703125" bestFit="1" customWidth="1"/>
    <col min="22" max="23" width="13.140625" bestFit="1" customWidth="1"/>
    <col min="24" max="24" width="15.85546875" bestFit="1" customWidth="1"/>
    <col min="25" max="25" width="11.7109375" bestFit="1" customWidth="1"/>
    <col min="26" max="26" width="17.5703125" bestFit="1" customWidth="1"/>
    <col min="27" max="27" width="25.85546875" bestFit="1" customWidth="1"/>
    <col min="28" max="28" width="25" customWidth="1"/>
  </cols>
  <sheetData>
    <row r="1" spans="1:15" x14ac:dyDescent="0.25">
      <c r="A1" t="s">
        <v>84</v>
      </c>
      <c r="B1" t="s">
        <v>85</v>
      </c>
      <c r="C1" t="s">
        <v>0</v>
      </c>
      <c r="D1" t="s">
        <v>1</v>
      </c>
      <c r="E1" t="s">
        <v>33</v>
      </c>
      <c r="F1" t="s">
        <v>34</v>
      </c>
      <c r="G1" t="s">
        <v>2</v>
      </c>
      <c r="H1" t="s">
        <v>3</v>
      </c>
      <c r="I1" t="s">
        <v>4</v>
      </c>
      <c r="J1" t="s">
        <v>25</v>
      </c>
      <c r="K1" t="s">
        <v>421</v>
      </c>
      <c r="L1" t="s">
        <v>70</v>
      </c>
      <c r="M1" t="s">
        <v>71</v>
      </c>
      <c r="N1" t="s">
        <v>32</v>
      </c>
      <c r="O1" t="s">
        <v>6</v>
      </c>
    </row>
    <row r="2" spans="1:15" x14ac:dyDescent="0.25">
      <c r="A2">
        <v>1</v>
      </c>
      <c r="B2" s="2" t="s">
        <v>80</v>
      </c>
      <c r="C2" t="s">
        <v>89</v>
      </c>
      <c r="E2" t="s">
        <v>42</v>
      </c>
      <c r="F2" t="s">
        <v>69</v>
      </c>
      <c r="G2" t="s">
        <v>24</v>
      </c>
      <c r="J2" t="s">
        <v>30</v>
      </c>
      <c r="K2" t="s">
        <v>406</v>
      </c>
      <c r="L2">
        <v>1355</v>
      </c>
      <c r="M2">
        <v>151800</v>
      </c>
      <c r="N2">
        <v>18069</v>
      </c>
      <c r="O2">
        <v>20</v>
      </c>
    </row>
    <row r="3" spans="1:15" x14ac:dyDescent="0.25">
      <c r="A3">
        <v>2</v>
      </c>
      <c r="B3" s="2" t="s">
        <v>80</v>
      </c>
      <c r="C3" t="s">
        <v>93</v>
      </c>
      <c r="E3" t="s">
        <v>400</v>
      </c>
      <c r="F3" t="s">
        <v>91</v>
      </c>
      <c r="G3" t="s">
        <v>24</v>
      </c>
      <c r="J3" t="s">
        <v>91</v>
      </c>
      <c r="K3" t="s">
        <v>404</v>
      </c>
      <c r="L3">
        <v>927</v>
      </c>
      <c r="M3">
        <v>127800</v>
      </c>
      <c r="N3">
        <v>11529</v>
      </c>
      <c r="O3">
        <v>18</v>
      </c>
    </row>
    <row r="4" spans="1:15" x14ac:dyDescent="0.25">
      <c r="A4">
        <v>3</v>
      </c>
      <c r="B4" s="2" t="s">
        <v>80</v>
      </c>
      <c r="C4" t="s">
        <v>98</v>
      </c>
      <c r="E4" t="s">
        <v>400</v>
      </c>
      <c r="F4" t="s">
        <v>35</v>
      </c>
      <c r="G4" t="s">
        <v>10</v>
      </c>
      <c r="H4" t="s">
        <v>14</v>
      </c>
      <c r="I4" t="s">
        <v>14</v>
      </c>
      <c r="J4" t="s">
        <v>27</v>
      </c>
      <c r="L4">
        <v>929</v>
      </c>
      <c r="M4">
        <v>179700</v>
      </c>
      <c r="N4">
        <v>10989</v>
      </c>
      <c r="O4">
        <v>16</v>
      </c>
    </row>
    <row r="5" spans="1:15" x14ac:dyDescent="0.25">
      <c r="A5">
        <v>4</v>
      </c>
      <c r="B5" s="2" t="s">
        <v>80</v>
      </c>
      <c r="C5" t="s">
        <v>94</v>
      </c>
      <c r="E5" t="s">
        <v>48</v>
      </c>
      <c r="F5" t="s">
        <v>66</v>
      </c>
      <c r="G5" t="s">
        <v>14</v>
      </c>
      <c r="H5" t="s">
        <v>19</v>
      </c>
      <c r="J5" t="s">
        <v>31</v>
      </c>
      <c r="L5">
        <v>636</v>
      </c>
      <c r="M5">
        <v>87600</v>
      </c>
      <c r="N5">
        <v>10172</v>
      </c>
      <c r="O5">
        <v>14</v>
      </c>
    </row>
    <row r="6" spans="1:15" x14ac:dyDescent="0.25">
      <c r="A6">
        <v>5</v>
      </c>
      <c r="B6" s="2" t="s">
        <v>80</v>
      </c>
      <c r="C6" t="s">
        <v>92</v>
      </c>
      <c r="E6" t="s">
        <v>53</v>
      </c>
      <c r="F6" t="s">
        <v>35</v>
      </c>
      <c r="G6" t="s">
        <v>14</v>
      </c>
      <c r="H6" t="s">
        <v>11</v>
      </c>
      <c r="J6" t="s">
        <v>27</v>
      </c>
      <c r="K6" t="s">
        <v>406</v>
      </c>
      <c r="L6">
        <v>666</v>
      </c>
      <c r="M6">
        <v>71300</v>
      </c>
      <c r="N6">
        <v>8978</v>
      </c>
      <c r="O6">
        <v>12</v>
      </c>
    </row>
    <row r="7" spans="1:15" x14ac:dyDescent="0.25">
      <c r="A7">
        <v>6</v>
      </c>
      <c r="B7" s="2" t="s">
        <v>80</v>
      </c>
      <c r="C7" t="s">
        <v>97</v>
      </c>
      <c r="E7" t="s">
        <v>43</v>
      </c>
      <c r="F7" t="s">
        <v>35</v>
      </c>
      <c r="G7" t="s">
        <v>20</v>
      </c>
      <c r="H7" t="s">
        <v>11</v>
      </c>
      <c r="J7" t="s">
        <v>27</v>
      </c>
      <c r="L7">
        <v>377</v>
      </c>
      <c r="M7">
        <v>56900</v>
      </c>
      <c r="N7">
        <v>5474</v>
      </c>
      <c r="O7">
        <v>10</v>
      </c>
    </row>
    <row r="8" spans="1:15" x14ac:dyDescent="0.25">
      <c r="A8">
        <v>7</v>
      </c>
      <c r="B8" s="2" t="s">
        <v>80</v>
      </c>
      <c r="C8" t="s">
        <v>96</v>
      </c>
      <c r="E8" t="s">
        <v>46</v>
      </c>
      <c r="F8" t="s">
        <v>59</v>
      </c>
      <c r="G8" t="s">
        <v>16</v>
      </c>
      <c r="H8" t="s">
        <v>11</v>
      </c>
      <c r="J8" t="s">
        <v>31</v>
      </c>
      <c r="K8" t="s">
        <v>407</v>
      </c>
      <c r="L8">
        <v>548</v>
      </c>
      <c r="M8">
        <v>59700</v>
      </c>
      <c r="N8">
        <v>5052</v>
      </c>
      <c r="O8">
        <v>8</v>
      </c>
    </row>
    <row r="9" spans="1:15" x14ac:dyDescent="0.25">
      <c r="A9">
        <v>8</v>
      </c>
      <c r="B9" s="2" t="s">
        <v>80</v>
      </c>
      <c r="C9" t="s">
        <v>90</v>
      </c>
      <c r="E9" t="s">
        <v>41</v>
      </c>
      <c r="F9" t="s">
        <v>91</v>
      </c>
      <c r="G9" t="s">
        <v>24</v>
      </c>
      <c r="J9" t="s">
        <v>91</v>
      </c>
      <c r="L9">
        <v>441</v>
      </c>
      <c r="M9">
        <v>75200</v>
      </c>
      <c r="N9">
        <v>5029</v>
      </c>
      <c r="O9">
        <v>6</v>
      </c>
    </row>
    <row r="10" spans="1:15" x14ac:dyDescent="0.25">
      <c r="A10">
        <v>9</v>
      </c>
      <c r="B10" s="2" t="s">
        <v>80</v>
      </c>
      <c r="C10" t="s">
        <v>88</v>
      </c>
      <c r="E10" t="s">
        <v>46</v>
      </c>
      <c r="F10" t="s">
        <v>35</v>
      </c>
      <c r="G10" t="s">
        <v>11</v>
      </c>
      <c r="H10" t="s">
        <v>14</v>
      </c>
      <c r="J10" t="s">
        <v>27</v>
      </c>
      <c r="K10" t="s">
        <v>405</v>
      </c>
      <c r="L10">
        <v>586</v>
      </c>
      <c r="M10">
        <v>0</v>
      </c>
      <c r="N10">
        <v>4067</v>
      </c>
      <c r="O10">
        <v>4</v>
      </c>
    </row>
    <row r="11" spans="1:15" x14ac:dyDescent="0.25">
      <c r="A11">
        <v>10</v>
      </c>
      <c r="B11" s="2" t="s">
        <v>80</v>
      </c>
      <c r="C11" t="s">
        <v>95</v>
      </c>
      <c r="E11" t="s">
        <v>401</v>
      </c>
      <c r="F11" t="s">
        <v>35</v>
      </c>
      <c r="G11" t="s">
        <v>16</v>
      </c>
      <c r="H11" t="s">
        <v>10</v>
      </c>
      <c r="I11" t="s">
        <v>18</v>
      </c>
      <c r="J11" t="s">
        <v>29</v>
      </c>
      <c r="L11">
        <v>0</v>
      </c>
      <c r="M11">
        <v>0</v>
      </c>
      <c r="N11">
        <v>2000</v>
      </c>
      <c r="O11">
        <v>4</v>
      </c>
    </row>
    <row r="12" spans="1:15" x14ac:dyDescent="0.25">
      <c r="A12">
        <v>11</v>
      </c>
      <c r="B12" s="2" t="s">
        <v>77</v>
      </c>
    </row>
    <row r="13" spans="1:15" x14ac:dyDescent="0.25">
      <c r="A13">
        <v>12</v>
      </c>
      <c r="B13" s="2" t="s">
        <v>78</v>
      </c>
    </row>
    <row r="14" spans="1:15" x14ac:dyDescent="0.25">
      <c r="A14">
        <v>13</v>
      </c>
      <c r="B14" s="2" t="s">
        <v>79</v>
      </c>
    </row>
    <row r="15" spans="1:15" x14ac:dyDescent="0.25">
      <c r="A15">
        <v>14</v>
      </c>
      <c r="B15" s="2" t="s">
        <v>72</v>
      </c>
    </row>
    <row r="16" spans="1:15" x14ac:dyDescent="0.25">
      <c r="A16">
        <v>15</v>
      </c>
      <c r="B16" s="2" t="s">
        <v>80</v>
      </c>
    </row>
    <row r="17" spans="1:2" x14ac:dyDescent="0.25">
      <c r="A17">
        <v>16</v>
      </c>
      <c r="B17" s="2" t="s">
        <v>77</v>
      </c>
    </row>
    <row r="18" spans="1:2" x14ac:dyDescent="0.25">
      <c r="A18">
        <v>17</v>
      </c>
      <c r="B18" s="2" t="s">
        <v>78</v>
      </c>
    </row>
    <row r="19" spans="1:2" x14ac:dyDescent="0.25">
      <c r="A19">
        <v>18</v>
      </c>
      <c r="B19" s="2" t="s">
        <v>79</v>
      </c>
    </row>
    <row r="20" spans="1:2" x14ac:dyDescent="0.25">
      <c r="A20">
        <v>19</v>
      </c>
      <c r="B20" s="2" t="s">
        <v>72</v>
      </c>
    </row>
    <row r="21" spans="1:2" x14ac:dyDescent="0.25">
      <c r="A21">
        <v>20</v>
      </c>
      <c r="B21" s="2" t="s">
        <v>80</v>
      </c>
    </row>
    <row r="22" spans="1:2" x14ac:dyDescent="0.25">
      <c r="A22">
        <v>21</v>
      </c>
      <c r="B22" s="2" t="s">
        <v>77</v>
      </c>
    </row>
    <row r="23" spans="1:2" x14ac:dyDescent="0.25">
      <c r="A23">
        <v>22</v>
      </c>
      <c r="B23" s="2" t="s">
        <v>78</v>
      </c>
    </row>
    <row r="24" spans="1:2" x14ac:dyDescent="0.25">
      <c r="A24">
        <v>23</v>
      </c>
      <c r="B24" s="2" t="s">
        <v>79</v>
      </c>
    </row>
    <row r="25" spans="1:2" x14ac:dyDescent="0.25">
      <c r="A25">
        <v>24</v>
      </c>
      <c r="B25" s="2" t="s">
        <v>72</v>
      </c>
    </row>
    <row r="26" spans="1:2" x14ac:dyDescent="0.25">
      <c r="A26">
        <v>25</v>
      </c>
      <c r="B26" s="2" t="s">
        <v>80</v>
      </c>
    </row>
    <row r="27" spans="1:2" x14ac:dyDescent="0.25">
      <c r="A27">
        <v>26</v>
      </c>
      <c r="B27" s="2" t="s">
        <v>77</v>
      </c>
    </row>
    <row r="28" spans="1:2" x14ac:dyDescent="0.25">
      <c r="A28">
        <v>27</v>
      </c>
      <c r="B28" s="2" t="s">
        <v>78</v>
      </c>
    </row>
    <row r="29" spans="1:2" x14ac:dyDescent="0.25">
      <c r="A29">
        <v>28</v>
      </c>
      <c r="B29" s="2" t="s">
        <v>79</v>
      </c>
    </row>
    <row r="30" spans="1:2" x14ac:dyDescent="0.25">
      <c r="A30">
        <v>29</v>
      </c>
      <c r="B30" s="2" t="s">
        <v>72</v>
      </c>
    </row>
    <row r="31" spans="1:2" x14ac:dyDescent="0.25">
      <c r="A31">
        <v>30</v>
      </c>
      <c r="B31" s="2" t="s">
        <v>80</v>
      </c>
    </row>
    <row r="32" spans="1:2" x14ac:dyDescent="0.25">
      <c r="A32">
        <v>31</v>
      </c>
      <c r="B32" s="2" t="s">
        <v>77</v>
      </c>
    </row>
    <row r="33" spans="1:2" x14ac:dyDescent="0.25">
      <c r="A33">
        <v>32</v>
      </c>
      <c r="B33" s="2" t="s">
        <v>78</v>
      </c>
    </row>
    <row r="34" spans="1:2" x14ac:dyDescent="0.25">
      <c r="A34">
        <v>33</v>
      </c>
      <c r="B34" s="2" t="s">
        <v>79</v>
      </c>
    </row>
    <row r="35" spans="1:2" x14ac:dyDescent="0.25">
      <c r="A35">
        <v>34</v>
      </c>
      <c r="B35" s="2" t="s">
        <v>72</v>
      </c>
    </row>
    <row r="36" spans="1:2" x14ac:dyDescent="0.25">
      <c r="A36">
        <v>35</v>
      </c>
      <c r="B36" s="2" t="s">
        <v>80</v>
      </c>
    </row>
    <row r="37" spans="1:2" x14ac:dyDescent="0.25">
      <c r="A37">
        <v>36</v>
      </c>
      <c r="B37" s="2" t="s">
        <v>77</v>
      </c>
    </row>
    <row r="38" spans="1:2" x14ac:dyDescent="0.25">
      <c r="A38">
        <v>37</v>
      </c>
      <c r="B38" s="2" t="s">
        <v>78</v>
      </c>
    </row>
    <row r="39" spans="1:2" x14ac:dyDescent="0.25">
      <c r="A39">
        <v>38</v>
      </c>
      <c r="B39" s="2" t="s">
        <v>79</v>
      </c>
    </row>
    <row r="40" spans="1:2" x14ac:dyDescent="0.25">
      <c r="A40">
        <v>39</v>
      </c>
      <c r="B40" s="2" t="s">
        <v>72</v>
      </c>
    </row>
    <row r="41" spans="1:2" x14ac:dyDescent="0.25">
      <c r="A41">
        <v>40</v>
      </c>
      <c r="B41" s="2" t="s">
        <v>80</v>
      </c>
    </row>
    <row r="42" spans="1:2" x14ac:dyDescent="0.25">
      <c r="A42">
        <v>41</v>
      </c>
      <c r="B42" s="2" t="s">
        <v>77</v>
      </c>
    </row>
    <row r="43" spans="1:2" x14ac:dyDescent="0.25">
      <c r="A43">
        <v>42</v>
      </c>
      <c r="B43" s="2" t="s">
        <v>78</v>
      </c>
    </row>
    <row r="44" spans="1:2" x14ac:dyDescent="0.25">
      <c r="A44">
        <v>43</v>
      </c>
      <c r="B44" s="2" t="s">
        <v>79</v>
      </c>
    </row>
    <row r="45" spans="1:2" x14ac:dyDescent="0.25">
      <c r="A45">
        <v>44</v>
      </c>
      <c r="B45" s="2" t="s">
        <v>72</v>
      </c>
    </row>
    <row r="46" spans="1:2" x14ac:dyDescent="0.25">
      <c r="A46">
        <v>45</v>
      </c>
      <c r="B46" s="2" t="s">
        <v>80</v>
      </c>
    </row>
    <row r="47" spans="1:2" x14ac:dyDescent="0.25">
      <c r="A47">
        <v>46</v>
      </c>
      <c r="B47" s="2" t="s">
        <v>77</v>
      </c>
    </row>
    <row r="48" spans="1:2" x14ac:dyDescent="0.25">
      <c r="A48">
        <v>47</v>
      </c>
      <c r="B48" s="2" t="s">
        <v>78</v>
      </c>
    </row>
    <row r="49" spans="1:2" x14ac:dyDescent="0.25">
      <c r="A49">
        <v>48</v>
      </c>
      <c r="B49" s="2" t="s">
        <v>79</v>
      </c>
    </row>
    <row r="50" spans="1:2" x14ac:dyDescent="0.25">
      <c r="A50">
        <v>49</v>
      </c>
      <c r="B50" s="2" t="s">
        <v>72</v>
      </c>
    </row>
    <row r="51" spans="1:2" x14ac:dyDescent="0.25">
      <c r="A51">
        <v>50</v>
      </c>
      <c r="B51" s="2" t="s">
        <v>80</v>
      </c>
    </row>
    <row r="52" spans="1:2" x14ac:dyDescent="0.25">
      <c r="A52">
        <v>51</v>
      </c>
      <c r="B52" s="2" t="s">
        <v>77</v>
      </c>
    </row>
    <row r="53" spans="1:2" x14ac:dyDescent="0.25">
      <c r="A53">
        <v>52</v>
      </c>
      <c r="B53" s="2" t="s">
        <v>78</v>
      </c>
    </row>
    <row r="54" spans="1:2" x14ac:dyDescent="0.25">
      <c r="A54">
        <v>53</v>
      </c>
      <c r="B54" s="2" t="s">
        <v>79</v>
      </c>
    </row>
    <row r="55" spans="1:2" x14ac:dyDescent="0.25">
      <c r="A55">
        <v>54</v>
      </c>
      <c r="B55" s="2" t="s">
        <v>72</v>
      </c>
    </row>
    <row r="56" spans="1:2" x14ac:dyDescent="0.25">
      <c r="A56">
        <v>55</v>
      </c>
      <c r="B56" s="2" t="s">
        <v>80</v>
      </c>
    </row>
    <row r="57" spans="1:2" x14ac:dyDescent="0.25">
      <c r="A57">
        <v>56</v>
      </c>
      <c r="B57" s="2" t="s">
        <v>77</v>
      </c>
    </row>
    <row r="58" spans="1:2" x14ac:dyDescent="0.25">
      <c r="A58">
        <v>57</v>
      </c>
      <c r="B58" s="2" t="s">
        <v>78</v>
      </c>
    </row>
    <row r="59" spans="1:2" x14ac:dyDescent="0.25">
      <c r="A59">
        <v>58</v>
      </c>
      <c r="B59" s="2" t="s">
        <v>79</v>
      </c>
    </row>
    <row r="60" spans="1:2" x14ac:dyDescent="0.25">
      <c r="A60">
        <v>59</v>
      </c>
      <c r="B60" s="2" t="s">
        <v>72</v>
      </c>
    </row>
    <row r="61" spans="1:2" x14ac:dyDescent="0.25">
      <c r="A61">
        <v>60</v>
      </c>
      <c r="B61" s="2" t="s">
        <v>80</v>
      </c>
    </row>
    <row r="62" spans="1:2" x14ac:dyDescent="0.25">
      <c r="A62">
        <v>61</v>
      </c>
      <c r="B62" s="2" t="s">
        <v>77</v>
      </c>
    </row>
    <row r="63" spans="1:2" x14ac:dyDescent="0.25">
      <c r="A63">
        <v>62</v>
      </c>
      <c r="B63" s="2" t="s">
        <v>78</v>
      </c>
    </row>
    <row r="64" spans="1:2" x14ac:dyDescent="0.25">
      <c r="A64">
        <v>63</v>
      </c>
      <c r="B64" s="2" t="s">
        <v>79</v>
      </c>
    </row>
    <row r="65" spans="1:2" x14ac:dyDescent="0.25">
      <c r="A65">
        <v>64</v>
      </c>
      <c r="B65" s="2" t="s">
        <v>72</v>
      </c>
    </row>
    <row r="66" spans="1:2" x14ac:dyDescent="0.25">
      <c r="A66">
        <v>65</v>
      </c>
      <c r="B66" s="2" t="s">
        <v>80</v>
      </c>
    </row>
    <row r="67" spans="1:2" x14ac:dyDescent="0.25">
      <c r="A67">
        <v>66</v>
      </c>
      <c r="B67" s="2" t="s">
        <v>77</v>
      </c>
    </row>
    <row r="68" spans="1:2" x14ac:dyDescent="0.25">
      <c r="A68">
        <v>67</v>
      </c>
      <c r="B68" s="2" t="s">
        <v>78</v>
      </c>
    </row>
    <row r="69" spans="1:2" x14ac:dyDescent="0.25">
      <c r="A69">
        <v>68</v>
      </c>
      <c r="B69" s="2" t="s">
        <v>79</v>
      </c>
    </row>
    <row r="70" spans="1:2" x14ac:dyDescent="0.25">
      <c r="A70">
        <v>69</v>
      </c>
      <c r="B70" s="2" t="s">
        <v>72</v>
      </c>
    </row>
    <row r="71" spans="1:2" x14ac:dyDescent="0.25">
      <c r="A71">
        <v>70</v>
      </c>
      <c r="B71" s="2" t="s">
        <v>80</v>
      </c>
    </row>
    <row r="72" spans="1:2" x14ac:dyDescent="0.25">
      <c r="A72">
        <v>71</v>
      </c>
      <c r="B72" s="2" t="s">
        <v>77</v>
      </c>
    </row>
    <row r="73" spans="1:2" x14ac:dyDescent="0.25">
      <c r="A73">
        <v>72</v>
      </c>
      <c r="B73" s="2" t="s">
        <v>78</v>
      </c>
    </row>
    <row r="74" spans="1:2" x14ac:dyDescent="0.25">
      <c r="A74">
        <v>73</v>
      </c>
      <c r="B74" s="2" t="s">
        <v>79</v>
      </c>
    </row>
    <row r="75" spans="1:2" x14ac:dyDescent="0.25">
      <c r="A75">
        <v>74</v>
      </c>
      <c r="B75" s="2" t="s">
        <v>72</v>
      </c>
    </row>
    <row r="76" spans="1:2" x14ac:dyDescent="0.25">
      <c r="A76">
        <v>75</v>
      </c>
      <c r="B76" s="2" t="s">
        <v>80</v>
      </c>
    </row>
    <row r="77" spans="1:2" x14ac:dyDescent="0.25">
      <c r="A77">
        <v>76</v>
      </c>
      <c r="B77" s="2" t="s">
        <v>77</v>
      </c>
    </row>
    <row r="78" spans="1:2" x14ac:dyDescent="0.25">
      <c r="A78">
        <v>77</v>
      </c>
      <c r="B78" s="2" t="s">
        <v>78</v>
      </c>
    </row>
    <row r="79" spans="1:2" x14ac:dyDescent="0.25">
      <c r="A79">
        <v>78</v>
      </c>
      <c r="B79" s="2" t="s">
        <v>79</v>
      </c>
    </row>
    <row r="80" spans="1:2" x14ac:dyDescent="0.25">
      <c r="A80">
        <v>79</v>
      </c>
      <c r="B80" s="2" t="s">
        <v>72</v>
      </c>
    </row>
    <row r="81" spans="1:2" x14ac:dyDescent="0.25">
      <c r="A81">
        <v>80</v>
      </c>
      <c r="B81" s="2" t="s">
        <v>80</v>
      </c>
    </row>
    <row r="82" spans="1:2" x14ac:dyDescent="0.25">
      <c r="A82">
        <v>81</v>
      </c>
      <c r="B82" s="2" t="s">
        <v>77</v>
      </c>
    </row>
    <row r="83" spans="1:2" x14ac:dyDescent="0.25">
      <c r="A83">
        <v>82</v>
      </c>
      <c r="B83" s="2" t="s">
        <v>78</v>
      </c>
    </row>
    <row r="84" spans="1:2" x14ac:dyDescent="0.25">
      <c r="A84">
        <v>83</v>
      </c>
      <c r="B84" s="2" t="s">
        <v>79</v>
      </c>
    </row>
    <row r="85" spans="1:2" x14ac:dyDescent="0.25">
      <c r="A85">
        <v>84</v>
      </c>
      <c r="B85" s="2" t="s">
        <v>72</v>
      </c>
    </row>
    <row r="86" spans="1:2" x14ac:dyDescent="0.25">
      <c r="A86">
        <v>85</v>
      </c>
      <c r="B86" s="2" t="s">
        <v>80</v>
      </c>
    </row>
    <row r="87" spans="1:2" x14ac:dyDescent="0.25">
      <c r="A87">
        <v>86</v>
      </c>
      <c r="B87" s="2" t="s">
        <v>77</v>
      </c>
    </row>
    <row r="88" spans="1:2" x14ac:dyDescent="0.25">
      <c r="A88">
        <v>87</v>
      </c>
      <c r="B88" s="2" t="s">
        <v>78</v>
      </c>
    </row>
    <row r="89" spans="1:2" x14ac:dyDescent="0.25">
      <c r="A89">
        <v>88</v>
      </c>
      <c r="B89" s="2" t="s">
        <v>79</v>
      </c>
    </row>
    <row r="90" spans="1:2" x14ac:dyDescent="0.25">
      <c r="A90">
        <v>89</v>
      </c>
      <c r="B90" s="2" t="s">
        <v>72</v>
      </c>
    </row>
    <row r="91" spans="1:2" x14ac:dyDescent="0.25">
      <c r="A91">
        <v>90</v>
      </c>
      <c r="B91" s="2" t="s">
        <v>80</v>
      </c>
    </row>
    <row r="92" spans="1:2" x14ac:dyDescent="0.25">
      <c r="A92">
        <v>91</v>
      </c>
      <c r="B92" s="2" t="s">
        <v>77</v>
      </c>
    </row>
    <row r="93" spans="1:2" x14ac:dyDescent="0.25">
      <c r="A93">
        <v>92</v>
      </c>
      <c r="B93" s="2" t="s">
        <v>78</v>
      </c>
    </row>
    <row r="94" spans="1:2" x14ac:dyDescent="0.25">
      <c r="A94">
        <v>93</v>
      </c>
      <c r="B94" s="2" t="s">
        <v>79</v>
      </c>
    </row>
    <row r="95" spans="1:2" x14ac:dyDescent="0.25">
      <c r="A95">
        <v>94</v>
      </c>
      <c r="B95" s="2" t="s">
        <v>72</v>
      </c>
    </row>
    <row r="96" spans="1:2" x14ac:dyDescent="0.25">
      <c r="A96">
        <v>95</v>
      </c>
      <c r="B96" s="2" t="s">
        <v>80</v>
      </c>
    </row>
    <row r="97" spans="1:2" x14ac:dyDescent="0.25">
      <c r="A97">
        <v>96</v>
      </c>
      <c r="B97" s="2" t="s">
        <v>77</v>
      </c>
    </row>
    <row r="98" spans="1:2" x14ac:dyDescent="0.25">
      <c r="A98">
        <v>97</v>
      </c>
      <c r="B98" s="2" t="s">
        <v>78</v>
      </c>
    </row>
    <row r="99" spans="1:2" x14ac:dyDescent="0.25">
      <c r="A99">
        <v>98</v>
      </c>
      <c r="B99" s="2" t="s">
        <v>79</v>
      </c>
    </row>
    <row r="100" spans="1:2" x14ac:dyDescent="0.25">
      <c r="A100">
        <v>99</v>
      </c>
      <c r="B100" s="2" t="s">
        <v>72</v>
      </c>
    </row>
    <row r="101" spans="1:2" x14ac:dyDescent="0.25">
      <c r="A101">
        <v>100</v>
      </c>
      <c r="B101" s="2" t="s">
        <v>80</v>
      </c>
    </row>
    <row r="102" spans="1:2" x14ac:dyDescent="0.25">
      <c r="A102">
        <v>101</v>
      </c>
      <c r="B102" s="2" t="s">
        <v>77</v>
      </c>
    </row>
    <row r="103" spans="1:2" x14ac:dyDescent="0.25">
      <c r="A103">
        <v>102</v>
      </c>
      <c r="B103" s="2" t="s">
        <v>78</v>
      </c>
    </row>
    <row r="104" spans="1:2" x14ac:dyDescent="0.25">
      <c r="A104">
        <v>103</v>
      </c>
      <c r="B104" s="2" t="s">
        <v>79</v>
      </c>
    </row>
    <row r="105" spans="1:2" x14ac:dyDescent="0.25">
      <c r="A105">
        <v>104</v>
      </c>
      <c r="B105" s="2" t="s">
        <v>72</v>
      </c>
    </row>
    <row r="106" spans="1:2" x14ac:dyDescent="0.25">
      <c r="A106">
        <v>105</v>
      </c>
      <c r="B106" s="2" t="s">
        <v>80</v>
      </c>
    </row>
    <row r="107" spans="1:2" x14ac:dyDescent="0.25">
      <c r="A107">
        <v>106</v>
      </c>
      <c r="B107" s="2" t="s">
        <v>77</v>
      </c>
    </row>
    <row r="108" spans="1:2" x14ac:dyDescent="0.25">
      <c r="A108">
        <v>107</v>
      </c>
      <c r="B108" s="2" t="s">
        <v>78</v>
      </c>
    </row>
    <row r="109" spans="1:2" x14ac:dyDescent="0.25">
      <c r="A109">
        <v>108</v>
      </c>
      <c r="B109" s="2" t="s">
        <v>79</v>
      </c>
    </row>
    <row r="110" spans="1:2" x14ac:dyDescent="0.25">
      <c r="A110">
        <v>109</v>
      </c>
      <c r="B110" s="2" t="s">
        <v>72</v>
      </c>
    </row>
    <row r="111" spans="1:2" x14ac:dyDescent="0.25">
      <c r="A111">
        <v>110</v>
      </c>
      <c r="B111" s="2" t="s">
        <v>80</v>
      </c>
    </row>
    <row r="112" spans="1:2" x14ac:dyDescent="0.25">
      <c r="A112">
        <v>111</v>
      </c>
      <c r="B112" s="2" t="s">
        <v>77</v>
      </c>
    </row>
    <row r="113" spans="1:2" x14ac:dyDescent="0.25">
      <c r="A113">
        <v>112</v>
      </c>
      <c r="B113" s="2" t="s">
        <v>78</v>
      </c>
    </row>
    <row r="114" spans="1:2" x14ac:dyDescent="0.25">
      <c r="A114">
        <v>113</v>
      </c>
      <c r="B114" s="2" t="s">
        <v>79</v>
      </c>
    </row>
    <row r="115" spans="1:2" x14ac:dyDescent="0.25">
      <c r="A115">
        <v>114</v>
      </c>
      <c r="B115" s="2" t="s">
        <v>72</v>
      </c>
    </row>
    <row r="116" spans="1:2" x14ac:dyDescent="0.25">
      <c r="A116">
        <v>115</v>
      </c>
      <c r="B116" s="2" t="s">
        <v>81</v>
      </c>
    </row>
    <row r="117" spans="1:2" x14ac:dyDescent="0.25">
      <c r="A117">
        <v>116</v>
      </c>
      <c r="B117" s="2" t="s">
        <v>77</v>
      </c>
    </row>
    <row r="118" spans="1:2" x14ac:dyDescent="0.25">
      <c r="A118">
        <v>117</v>
      </c>
      <c r="B118" s="2" t="s">
        <v>78</v>
      </c>
    </row>
    <row r="119" spans="1:2" x14ac:dyDescent="0.25">
      <c r="A119">
        <v>118</v>
      </c>
      <c r="B119" s="2" t="s">
        <v>79</v>
      </c>
    </row>
    <row r="120" spans="1:2" x14ac:dyDescent="0.25">
      <c r="A120">
        <v>119</v>
      </c>
      <c r="B120" s="2" t="s">
        <v>72</v>
      </c>
    </row>
    <row r="121" spans="1:2" x14ac:dyDescent="0.25">
      <c r="A121">
        <v>120</v>
      </c>
      <c r="B121" s="2" t="s">
        <v>81</v>
      </c>
    </row>
    <row r="122" spans="1:2" x14ac:dyDescent="0.25">
      <c r="A122">
        <v>121</v>
      </c>
      <c r="B122" s="2" t="s">
        <v>77</v>
      </c>
    </row>
    <row r="123" spans="1:2" x14ac:dyDescent="0.25">
      <c r="A123">
        <v>122</v>
      </c>
      <c r="B123" s="2" t="s">
        <v>78</v>
      </c>
    </row>
    <row r="124" spans="1:2" x14ac:dyDescent="0.25">
      <c r="A124">
        <v>123</v>
      </c>
      <c r="B124" s="2" t="s">
        <v>79</v>
      </c>
    </row>
    <row r="125" spans="1:2" x14ac:dyDescent="0.25">
      <c r="A125">
        <v>124</v>
      </c>
      <c r="B125" s="2" t="s">
        <v>72</v>
      </c>
    </row>
    <row r="126" spans="1:2" x14ac:dyDescent="0.25">
      <c r="A126">
        <v>125</v>
      </c>
      <c r="B126" s="2" t="s">
        <v>81</v>
      </c>
    </row>
    <row r="127" spans="1:2" x14ac:dyDescent="0.25">
      <c r="A127">
        <v>126</v>
      </c>
      <c r="B127" s="2" t="s">
        <v>77</v>
      </c>
    </row>
    <row r="128" spans="1:2" x14ac:dyDescent="0.25">
      <c r="A128">
        <v>127</v>
      </c>
      <c r="B128" s="2" t="s">
        <v>78</v>
      </c>
    </row>
    <row r="129" spans="1:2" x14ac:dyDescent="0.25">
      <c r="A129">
        <v>128</v>
      </c>
      <c r="B129" s="2" t="s">
        <v>79</v>
      </c>
    </row>
    <row r="130" spans="1:2" x14ac:dyDescent="0.25">
      <c r="A130">
        <v>129</v>
      </c>
      <c r="B130" s="2" t="s">
        <v>72</v>
      </c>
    </row>
    <row r="131" spans="1:2" x14ac:dyDescent="0.25">
      <c r="A131">
        <v>130</v>
      </c>
      <c r="B131" s="2" t="s">
        <v>81</v>
      </c>
    </row>
    <row r="132" spans="1:2" x14ac:dyDescent="0.25">
      <c r="A132">
        <v>131</v>
      </c>
      <c r="B132" s="2" t="s">
        <v>77</v>
      </c>
    </row>
    <row r="133" spans="1:2" x14ac:dyDescent="0.25">
      <c r="A133">
        <v>132</v>
      </c>
      <c r="B133" s="2" t="s">
        <v>78</v>
      </c>
    </row>
    <row r="134" spans="1:2" x14ac:dyDescent="0.25">
      <c r="A134">
        <v>133</v>
      </c>
      <c r="B134" s="2" t="s">
        <v>79</v>
      </c>
    </row>
    <row r="135" spans="1:2" x14ac:dyDescent="0.25">
      <c r="A135">
        <v>134</v>
      </c>
      <c r="B135" s="2" t="s">
        <v>72</v>
      </c>
    </row>
    <row r="136" spans="1:2" x14ac:dyDescent="0.25">
      <c r="A136">
        <v>135</v>
      </c>
      <c r="B136" s="2" t="s">
        <v>81</v>
      </c>
    </row>
    <row r="137" spans="1:2" x14ac:dyDescent="0.25">
      <c r="A137">
        <v>136</v>
      </c>
      <c r="B137" s="2" t="s">
        <v>77</v>
      </c>
    </row>
    <row r="138" spans="1:2" x14ac:dyDescent="0.25">
      <c r="A138">
        <v>137</v>
      </c>
      <c r="B138" s="2" t="s">
        <v>78</v>
      </c>
    </row>
    <row r="139" spans="1:2" x14ac:dyDescent="0.25">
      <c r="A139">
        <v>138</v>
      </c>
      <c r="B139" s="2" t="s">
        <v>79</v>
      </c>
    </row>
    <row r="140" spans="1:2" x14ac:dyDescent="0.25">
      <c r="A140">
        <v>139</v>
      </c>
      <c r="B140" s="2" t="s">
        <v>72</v>
      </c>
    </row>
    <row r="141" spans="1:2" x14ac:dyDescent="0.25">
      <c r="A141">
        <v>140</v>
      </c>
      <c r="B141" s="2" t="s">
        <v>81</v>
      </c>
    </row>
    <row r="142" spans="1:2" x14ac:dyDescent="0.25">
      <c r="A142">
        <v>141</v>
      </c>
      <c r="B142" s="2" t="s">
        <v>77</v>
      </c>
    </row>
    <row r="143" spans="1:2" x14ac:dyDescent="0.25">
      <c r="A143">
        <v>142</v>
      </c>
      <c r="B143" s="2" t="s">
        <v>78</v>
      </c>
    </row>
    <row r="144" spans="1:2" x14ac:dyDescent="0.25">
      <c r="A144">
        <v>143</v>
      </c>
      <c r="B144" s="2" t="s">
        <v>79</v>
      </c>
    </row>
    <row r="145" spans="1:2" x14ac:dyDescent="0.25">
      <c r="A145">
        <v>144</v>
      </c>
      <c r="B145" s="2" t="s">
        <v>72</v>
      </c>
    </row>
    <row r="146" spans="1:2" x14ac:dyDescent="0.25">
      <c r="A146">
        <v>145</v>
      </c>
      <c r="B146" s="2" t="s">
        <v>81</v>
      </c>
    </row>
    <row r="147" spans="1:2" x14ac:dyDescent="0.25">
      <c r="A147">
        <v>146</v>
      </c>
      <c r="B147" s="2" t="s">
        <v>77</v>
      </c>
    </row>
    <row r="148" spans="1:2" x14ac:dyDescent="0.25">
      <c r="A148">
        <v>147</v>
      </c>
      <c r="B148" s="2" t="s">
        <v>78</v>
      </c>
    </row>
    <row r="149" spans="1:2" x14ac:dyDescent="0.25">
      <c r="A149">
        <v>148</v>
      </c>
      <c r="B149" s="2" t="s">
        <v>79</v>
      </c>
    </row>
    <row r="150" spans="1:2" x14ac:dyDescent="0.25">
      <c r="A150">
        <v>149</v>
      </c>
      <c r="B150" s="2" t="s">
        <v>72</v>
      </c>
    </row>
    <row r="151" spans="1:2" x14ac:dyDescent="0.25">
      <c r="A151">
        <v>150</v>
      </c>
      <c r="B151" s="2" t="s">
        <v>81</v>
      </c>
    </row>
    <row r="152" spans="1:2" x14ac:dyDescent="0.25">
      <c r="A152">
        <v>151</v>
      </c>
      <c r="B152" s="2" t="s">
        <v>77</v>
      </c>
    </row>
    <row r="153" spans="1:2" x14ac:dyDescent="0.25">
      <c r="A153">
        <v>152</v>
      </c>
      <c r="B153" s="2" t="s">
        <v>78</v>
      </c>
    </row>
    <row r="154" spans="1:2" x14ac:dyDescent="0.25">
      <c r="A154">
        <v>153</v>
      </c>
      <c r="B154" s="2" t="s">
        <v>79</v>
      </c>
    </row>
    <row r="155" spans="1:2" x14ac:dyDescent="0.25">
      <c r="A155">
        <v>154</v>
      </c>
      <c r="B155" s="2" t="s">
        <v>72</v>
      </c>
    </row>
    <row r="156" spans="1:2" x14ac:dyDescent="0.25">
      <c r="A156">
        <v>155</v>
      </c>
      <c r="B156" s="2" t="s">
        <v>81</v>
      </c>
    </row>
    <row r="157" spans="1:2" x14ac:dyDescent="0.25">
      <c r="A157">
        <v>156</v>
      </c>
      <c r="B157" s="2" t="s">
        <v>77</v>
      </c>
    </row>
    <row r="158" spans="1:2" x14ac:dyDescent="0.25">
      <c r="A158">
        <v>157</v>
      </c>
      <c r="B158" s="2" t="s">
        <v>78</v>
      </c>
    </row>
    <row r="159" spans="1:2" x14ac:dyDescent="0.25">
      <c r="A159">
        <v>158</v>
      </c>
      <c r="B159" s="2" t="s">
        <v>79</v>
      </c>
    </row>
    <row r="160" spans="1:2" x14ac:dyDescent="0.25">
      <c r="A160">
        <v>159</v>
      </c>
      <c r="B160" s="2" t="s">
        <v>72</v>
      </c>
    </row>
    <row r="161" spans="1:2" x14ac:dyDescent="0.25">
      <c r="A161">
        <v>160</v>
      </c>
      <c r="B161" s="2" t="s">
        <v>81</v>
      </c>
    </row>
    <row r="162" spans="1:2" x14ac:dyDescent="0.25">
      <c r="A162">
        <v>161</v>
      </c>
      <c r="B162" s="2" t="s">
        <v>77</v>
      </c>
    </row>
    <row r="163" spans="1:2" x14ac:dyDescent="0.25">
      <c r="A163">
        <v>162</v>
      </c>
      <c r="B163" s="2" t="s">
        <v>78</v>
      </c>
    </row>
    <row r="164" spans="1:2" x14ac:dyDescent="0.25">
      <c r="A164">
        <v>163</v>
      </c>
      <c r="B164" s="2" t="s">
        <v>79</v>
      </c>
    </row>
    <row r="165" spans="1:2" x14ac:dyDescent="0.25">
      <c r="A165">
        <v>164</v>
      </c>
      <c r="B165" s="2" t="s">
        <v>72</v>
      </c>
    </row>
    <row r="166" spans="1:2" x14ac:dyDescent="0.25">
      <c r="A166">
        <v>165</v>
      </c>
      <c r="B166" s="2" t="s">
        <v>81</v>
      </c>
    </row>
    <row r="167" spans="1:2" x14ac:dyDescent="0.25">
      <c r="A167">
        <v>166</v>
      </c>
      <c r="B167" s="2" t="s">
        <v>75</v>
      </c>
    </row>
    <row r="168" spans="1:2" x14ac:dyDescent="0.25">
      <c r="A168">
        <v>167</v>
      </c>
      <c r="B168" s="2" t="s">
        <v>76</v>
      </c>
    </row>
    <row r="169" spans="1:2" x14ac:dyDescent="0.25">
      <c r="A169">
        <v>168</v>
      </c>
      <c r="B169" s="2" t="s">
        <v>73</v>
      </c>
    </row>
    <row r="170" spans="1:2" x14ac:dyDescent="0.25">
      <c r="A170">
        <v>169</v>
      </c>
      <c r="B170" s="2" t="s">
        <v>81</v>
      </c>
    </row>
    <row r="171" spans="1:2" x14ac:dyDescent="0.25">
      <c r="A171">
        <v>170</v>
      </c>
      <c r="B171" s="2" t="s">
        <v>75</v>
      </c>
    </row>
    <row r="172" spans="1:2" x14ac:dyDescent="0.25">
      <c r="A172">
        <v>171</v>
      </c>
      <c r="B172" s="2" t="s">
        <v>76</v>
      </c>
    </row>
    <row r="173" spans="1:2" x14ac:dyDescent="0.25">
      <c r="A173">
        <v>172</v>
      </c>
      <c r="B173" s="2" t="s">
        <v>73</v>
      </c>
    </row>
    <row r="174" spans="1:2" x14ac:dyDescent="0.25">
      <c r="A174">
        <v>173</v>
      </c>
      <c r="B174" s="2" t="s">
        <v>81</v>
      </c>
    </row>
    <row r="175" spans="1:2" x14ac:dyDescent="0.25">
      <c r="A175">
        <v>174</v>
      </c>
      <c r="B175" s="2" t="s">
        <v>75</v>
      </c>
    </row>
    <row r="176" spans="1:2" x14ac:dyDescent="0.25">
      <c r="A176">
        <v>175</v>
      </c>
      <c r="B176" s="2" t="s">
        <v>76</v>
      </c>
    </row>
    <row r="177" spans="1:2" x14ac:dyDescent="0.25">
      <c r="A177">
        <v>176</v>
      </c>
      <c r="B177" s="2" t="s">
        <v>73</v>
      </c>
    </row>
    <row r="178" spans="1:2" x14ac:dyDescent="0.25">
      <c r="A178">
        <v>177</v>
      </c>
      <c r="B178" s="2" t="s">
        <v>81</v>
      </c>
    </row>
    <row r="179" spans="1:2" x14ac:dyDescent="0.25">
      <c r="A179">
        <v>178</v>
      </c>
      <c r="B179" s="2" t="s">
        <v>75</v>
      </c>
    </row>
    <row r="180" spans="1:2" x14ac:dyDescent="0.25">
      <c r="A180">
        <v>179</v>
      </c>
      <c r="B180" s="2" t="s">
        <v>76</v>
      </c>
    </row>
    <row r="181" spans="1:2" x14ac:dyDescent="0.25">
      <c r="A181">
        <v>180</v>
      </c>
      <c r="B181" s="2" t="s">
        <v>73</v>
      </c>
    </row>
    <row r="182" spans="1:2" x14ac:dyDescent="0.25">
      <c r="A182">
        <v>181</v>
      </c>
      <c r="B182" s="2" t="s">
        <v>81</v>
      </c>
    </row>
    <row r="183" spans="1:2" x14ac:dyDescent="0.25">
      <c r="A183">
        <v>182</v>
      </c>
      <c r="B183" s="2" t="s">
        <v>75</v>
      </c>
    </row>
    <row r="184" spans="1:2" x14ac:dyDescent="0.25">
      <c r="A184">
        <v>183</v>
      </c>
      <c r="B184" s="2" t="s">
        <v>76</v>
      </c>
    </row>
    <row r="185" spans="1:2" x14ac:dyDescent="0.25">
      <c r="A185">
        <v>184</v>
      </c>
      <c r="B185" s="2" t="s">
        <v>73</v>
      </c>
    </row>
    <row r="186" spans="1:2" x14ac:dyDescent="0.25">
      <c r="A186">
        <v>185</v>
      </c>
      <c r="B186" s="2" t="s">
        <v>81</v>
      </c>
    </row>
    <row r="187" spans="1:2" x14ac:dyDescent="0.25">
      <c r="A187">
        <v>186</v>
      </c>
      <c r="B187" s="2" t="s">
        <v>75</v>
      </c>
    </row>
    <row r="188" spans="1:2" x14ac:dyDescent="0.25">
      <c r="A188">
        <v>187</v>
      </c>
      <c r="B188" s="2" t="s">
        <v>76</v>
      </c>
    </row>
    <row r="189" spans="1:2" x14ac:dyDescent="0.25">
      <c r="A189">
        <v>188</v>
      </c>
      <c r="B189" s="2" t="s">
        <v>73</v>
      </c>
    </row>
    <row r="190" spans="1:2" x14ac:dyDescent="0.25">
      <c r="A190">
        <v>189</v>
      </c>
      <c r="B190" s="2" t="s">
        <v>81</v>
      </c>
    </row>
    <row r="191" spans="1:2" x14ac:dyDescent="0.25">
      <c r="A191">
        <v>190</v>
      </c>
      <c r="B191" s="2" t="s">
        <v>75</v>
      </c>
    </row>
    <row r="192" spans="1:2" x14ac:dyDescent="0.25">
      <c r="A192">
        <v>191</v>
      </c>
      <c r="B192" s="2" t="s">
        <v>76</v>
      </c>
    </row>
    <row r="193" spans="1:2" x14ac:dyDescent="0.25">
      <c r="A193">
        <v>192</v>
      </c>
      <c r="B193" s="2" t="s">
        <v>73</v>
      </c>
    </row>
    <row r="194" spans="1:2" x14ac:dyDescent="0.25">
      <c r="A194">
        <v>193</v>
      </c>
      <c r="B194" s="2" t="s">
        <v>81</v>
      </c>
    </row>
    <row r="195" spans="1:2" x14ac:dyDescent="0.25">
      <c r="A195">
        <v>194</v>
      </c>
      <c r="B195" s="2" t="s">
        <v>75</v>
      </c>
    </row>
    <row r="196" spans="1:2" x14ac:dyDescent="0.25">
      <c r="A196">
        <v>195</v>
      </c>
      <c r="B196" s="2" t="s">
        <v>76</v>
      </c>
    </row>
    <row r="197" spans="1:2" x14ac:dyDescent="0.25">
      <c r="A197">
        <v>196</v>
      </c>
      <c r="B197" s="2" t="s">
        <v>73</v>
      </c>
    </row>
    <row r="198" spans="1:2" x14ac:dyDescent="0.25">
      <c r="A198">
        <v>197</v>
      </c>
      <c r="B198" s="2" t="s">
        <v>81</v>
      </c>
    </row>
    <row r="199" spans="1:2" x14ac:dyDescent="0.25">
      <c r="A199">
        <v>198</v>
      </c>
      <c r="B199" s="2" t="s">
        <v>75</v>
      </c>
    </row>
    <row r="200" spans="1:2" x14ac:dyDescent="0.25">
      <c r="A200">
        <v>199</v>
      </c>
      <c r="B200" s="2" t="s">
        <v>76</v>
      </c>
    </row>
    <row r="201" spans="1:2" x14ac:dyDescent="0.25">
      <c r="A201">
        <v>200</v>
      </c>
      <c r="B201" s="2" t="s">
        <v>73</v>
      </c>
    </row>
    <row r="202" spans="1:2" x14ac:dyDescent="0.25">
      <c r="A202">
        <v>201</v>
      </c>
      <c r="B202" s="2" t="s">
        <v>81</v>
      </c>
    </row>
    <row r="203" spans="1:2" x14ac:dyDescent="0.25">
      <c r="A203">
        <v>202</v>
      </c>
      <c r="B203" s="2" t="s">
        <v>75</v>
      </c>
    </row>
    <row r="204" spans="1:2" x14ac:dyDescent="0.25">
      <c r="A204">
        <v>203</v>
      </c>
      <c r="B204" s="2" t="s">
        <v>76</v>
      </c>
    </row>
    <row r="205" spans="1:2" x14ac:dyDescent="0.25">
      <c r="A205">
        <v>204</v>
      </c>
      <c r="B205" s="2" t="s">
        <v>73</v>
      </c>
    </row>
    <row r="206" spans="1:2" x14ac:dyDescent="0.25">
      <c r="A206">
        <v>205</v>
      </c>
      <c r="B206" s="2" t="s">
        <v>81</v>
      </c>
    </row>
    <row r="207" spans="1:2" x14ac:dyDescent="0.25">
      <c r="A207">
        <v>206</v>
      </c>
      <c r="B207" s="2" t="s">
        <v>75</v>
      </c>
    </row>
    <row r="208" spans="1:2" x14ac:dyDescent="0.25">
      <c r="A208">
        <v>207</v>
      </c>
      <c r="B208" s="2" t="s">
        <v>76</v>
      </c>
    </row>
    <row r="209" spans="1:2" x14ac:dyDescent="0.25">
      <c r="A209">
        <v>208</v>
      </c>
      <c r="B209" s="2" t="s">
        <v>73</v>
      </c>
    </row>
    <row r="210" spans="1:2" x14ac:dyDescent="0.25">
      <c r="A210">
        <v>209</v>
      </c>
      <c r="B210" s="2" t="s">
        <v>81</v>
      </c>
    </row>
    <row r="211" spans="1:2" x14ac:dyDescent="0.25">
      <c r="A211">
        <v>210</v>
      </c>
      <c r="B211" s="2" t="s">
        <v>75</v>
      </c>
    </row>
    <row r="212" spans="1:2" x14ac:dyDescent="0.25">
      <c r="A212">
        <v>211</v>
      </c>
      <c r="B212" s="2" t="s">
        <v>76</v>
      </c>
    </row>
    <row r="213" spans="1:2" x14ac:dyDescent="0.25">
      <c r="A213">
        <v>212</v>
      </c>
      <c r="B213" s="2" t="s">
        <v>73</v>
      </c>
    </row>
    <row r="214" spans="1:2" x14ac:dyDescent="0.25">
      <c r="A214">
        <v>213</v>
      </c>
      <c r="B214" s="2" t="s">
        <v>81</v>
      </c>
    </row>
    <row r="215" spans="1:2" x14ac:dyDescent="0.25">
      <c r="A215">
        <v>214</v>
      </c>
      <c r="B215" s="2" t="s">
        <v>75</v>
      </c>
    </row>
    <row r="216" spans="1:2" x14ac:dyDescent="0.25">
      <c r="A216">
        <v>215</v>
      </c>
      <c r="B216" s="2" t="s">
        <v>76</v>
      </c>
    </row>
    <row r="217" spans="1:2" x14ac:dyDescent="0.25">
      <c r="A217">
        <v>216</v>
      </c>
      <c r="B217" s="2" t="s">
        <v>73</v>
      </c>
    </row>
    <row r="218" spans="1:2" x14ac:dyDescent="0.25">
      <c r="A218">
        <v>217</v>
      </c>
      <c r="B218" s="2" t="s">
        <v>81</v>
      </c>
    </row>
    <row r="219" spans="1:2" x14ac:dyDescent="0.25">
      <c r="A219">
        <v>218</v>
      </c>
      <c r="B219" s="2" t="s">
        <v>75</v>
      </c>
    </row>
    <row r="220" spans="1:2" x14ac:dyDescent="0.25">
      <c r="A220">
        <v>219</v>
      </c>
      <c r="B220" s="2" t="s">
        <v>76</v>
      </c>
    </row>
    <row r="221" spans="1:2" x14ac:dyDescent="0.25">
      <c r="A221">
        <v>220</v>
      </c>
      <c r="B221" s="2" t="s">
        <v>73</v>
      </c>
    </row>
    <row r="222" spans="1:2" x14ac:dyDescent="0.25">
      <c r="A222">
        <v>221</v>
      </c>
      <c r="B222" s="2" t="s">
        <v>81</v>
      </c>
    </row>
    <row r="223" spans="1:2" x14ac:dyDescent="0.25">
      <c r="A223">
        <v>222</v>
      </c>
      <c r="B223" s="2" t="s">
        <v>75</v>
      </c>
    </row>
    <row r="224" spans="1:2" x14ac:dyDescent="0.25">
      <c r="A224">
        <v>223</v>
      </c>
      <c r="B224" s="2" t="s">
        <v>76</v>
      </c>
    </row>
    <row r="225" spans="1:2" x14ac:dyDescent="0.25">
      <c r="A225">
        <v>224</v>
      </c>
      <c r="B225" s="2" t="s">
        <v>73</v>
      </c>
    </row>
    <row r="226" spans="1:2" x14ac:dyDescent="0.25">
      <c r="A226">
        <v>225</v>
      </c>
      <c r="B226" s="2" t="s">
        <v>81</v>
      </c>
    </row>
    <row r="227" spans="1:2" x14ac:dyDescent="0.25">
      <c r="A227">
        <v>226</v>
      </c>
      <c r="B227" s="2" t="s">
        <v>75</v>
      </c>
    </row>
    <row r="228" spans="1:2" x14ac:dyDescent="0.25">
      <c r="A228">
        <v>227</v>
      </c>
      <c r="B228" s="2" t="s">
        <v>76</v>
      </c>
    </row>
    <row r="229" spans="1:2" x14ac:dyDescent="0.25">
      <c r="A229">
        <v>228</v>
      </c>
      <c r="B229" s="2" t="s">
        <v>73</v>
      </c>
    </row>
    <row r="230" spans="1:2" x14ac:dyDescent="0.25">
      <c r="A230">
        <v>229</v>
      </c>
      <c r="B230" s="2" t="s">
        <v>81</v>
      </c>
    </row>
    <row r="231" spans="1:2" x14ac:dyDescent="0.25">
      <c r="A231">
        <v>230</v>
      </c>
      <c r="B231" s="2" t="s">
        <v>75</v>
      </c>
    </row>
    <row r="232" spans="1:2" x14ac:dyDescent="0.25">
      <c r="A232">
        <v>231</v>
      </c>
      <c r="B232" s="2" t="s">
        <v>76</v>
      </c>
    </row>
    <row r="233" spans="1:2" x14ac:dyDescent="0.25">
      <c r="A233">
        <v>232</v>
      </c>
      <c r="B233" s="2" t="s">
        <v>73</v>
      </c>
    </row>
    <row r="234" spans="1:2" x14ac:dyDescent="0.25">
      <c r="A234">
        <v>233</v>
      </c>
      <c r="B234" s="2" t="s">
        <v>81</v>
      </c>
    </row>
    <row r="235" spans="1:2" x14ac:dyDescent="0.25">
      <c r="A235">
        <v>234</v>
      </c>
      <c r="B235" s="2" t="s">
        <v>75</v>
      </c>
    </row>
    <row r="236" spans="1:2" x14ac:dyDescent="0.25">
      <c r="A236">
        <v>235</v>
      </c>
      <c r="B236" s="2" t="s">
        <v>76</v>
      </c>
    </row>
    <row r="237" spans="1:2" x14ac:dyDescent="0.25">
      <c r="A237">
        <v>236</v>
      </c>
      <c r="B237" s="2" t="s">
        <v>73</v>
      </c>
    </row>
    <row r="238" spans="1:2" x14ac:dyDescent="0.25">
      <c r="A238">
        <v>237</v>
      </c>
      <c r="B238" s="2" t="s">
        <v>81</v>
      </c>
    </row>
    <row r="239" spans="1:2" x14ac:dyDescent="0.25">
      <c r="A239">
        <v>238</v>
      </c>
      <c r="B239" s="2" t="s">
        <v>75</v>
      </c>
    </row>
    <row r="240" spans="1:2" x14ac:dyDescent="0.25">
      <c r="A240">
        <v>239</v>
      </c>
      <c r="B240" s="2" t="s">
        <v>76</v>
      </c>
    </row>
    <row r="241" spans="1:2" x14ac:dyDescent="0.25">
      <c r="A241">
        <v>240</v>
      </c>
      <c r="B241" s="2" t="s">
        <v>73</v>
      </c>
    </row>
    <row r="242" spans="1:2" x14ac:dyDescent="0.25">
      <c r="A242">
        <v>241</v>
      </c>
      <c r="B242" s="2" t="s">
        <v>81</v>
      </c>
    </row>
    <row r="243" spans="1:2" x14ac:dyDescent="0.25">
      <c r="A243">
        <v>242</v>
      </c>
      <c r="B243" s="2" t="s">
        <v>75</v>
      </c>
    </row>
    <row r="244" spans="1:2" x14ac:dyDescent="0.25">
      <c r="A244">
        <v>243</v>
      </c>
      <c r="B244" s="2" t="s">
        <v>76</v>
      </c>
    </row>
    <row r="245" spans="1:2" x14ac:dyDescent="0.25">
      <c r="A245">
        <v>244</v>
      </c>
      <c r="B245" s="2" t="s">
        <v>73</v>
      </c>
    </row>
    <row r="246" spans="1:2" x14ac:dyDescent="0.25">
      <c r="A246">
        <v>245</v>
      </c>
      <c r="B246" s="2" t="s">
        <v>81</v>
      </c>
    </row>
    <row r="247" spans="1:2" x14ac:dyDescent="0.25">
      <c r="A247">
        <v>246</v>
      </c>
      <c r="B247" s="2" t="s">
        <v>75</v>
      </c>
    </row>
    <row r="248" spans="1:2" x14ac:dyDescent="0.25">
      <c r="A248">
        <v>247</v>
      </c>
      <c r="B248" s="2" t="s">
        <v>76</v>
      </c>
    </row>
    <row r="249" spans="1:2" x14ac:dyDescent="0.25">
      <c r="A249">
        <v>248</v>
      </c>
      <c r="B249" s="2" t="s">
        <v>73</v>
      </c>
    </row>
    <row r="250" spans="1:2" x14ac:dyDescent="0.25">
      <c r="A250">
        <v>249</v>
      </c>
      <c r="B250" s="2" t="s">
        <v>75</v>
      </c>
    </row>
    <row r="251" spans="1:2" x14ac:dyDescent="0.25">
      <c r="A251">
        <v>250</v>
      </c>
      <c r="B251" s="2" t="s">
        <v>76</v>
      </c>
    </row>
    <row r="252" spans="1:2" x14ac:dyDescent="0.25">
      <c r="A252">
        <v>251</v>
      </c>
      <c r="B252" s="2" t="s">
        <v>73</v>
      </c>
    </row>
    <row r="253" spans="1:2" x14ac:dyDescent="0.25">
      <c r="A253">
        <v>252</v>
      </c>
      <c r="B253" s="2" t="s">
        <v>75</v>
      </c>
    </row>
    <row r="254" spans="1:2" x14ac:dyDescent="0.25">
      <c r="A254">
        <v>253</v>
      </c>
      <c r="B254" s="2" t="s">
        <v>76</v>
      </c>
    </row>
    <row r="255" spans="1:2" x14ac:dyDescent="0.25">
      <c r="A255">
        <v>254</v>
      </c>
      <c r="B255" s="2" t="s">
        <v>73</v>
      </c>
    </row>
    <row r="256" spans="1:2" x14ac:dyDescent="0.25">
      <c r="A256">
        <v>255</v>
      </c>
      <c r="B256" s="2" t="s">
        <v>75</v>
      </c>
    </row>
    <row r="257" spans="1:2" x14ac:dyDescent="0.25">
      <c r="A257">
        <v>256</v>
      </c>
      <c r="B257" s="2" t="s">
        <v>76</v>
      </c>
    </row>
    <row r="258" spans="1:2" x14ac:dyDescent="0.25">
      <c r="A258">
        <v>257</v>
      </c>
      <c r="B258" s="2" t="s">
        <v>73</v>
      </c>
    </row>
    <row r="259" spans="1:2" x14ac:dyDescent="0.25">
      <c r="A259">
        <v>258</v>
      </c>
      <c r="B259" s="2" t="s">
        <v>75</v>
      </c>
    </row>
    <row r="260" spans="1:2" x14ac:dyDescent="0.25">
      <c r="A260">
        <v>259</v>
      </c>
      <c r="B260" s="2" t="s">
        <v>76</v>
      </c>
    </row>
    <row r="261" spans="1:2" x14ac:dyDescent="0.25">
      <c r="A261">
        <v>260</v>
      </c>
      <c r="B261" s="2" t="s">
        <v>73</v>
      </c>
    </row>
    <row r="262" spans="1:2" x14ac:dyDescent="0.25">
      <c r="A262">
        <v>261</v>
      </c>
      <c r="B262" s="2" t="s">
        <v>75</v>
      </c>
    </row>
    <row r="263" spans="1:2" x14ac:dyDescent="0.25">
      <c r="A263">
        <v>262</v>
      </c>
      <c r="B263" s="2" t="s">
        <v>76</v>
      </c>
    </row>
    <row r="264" spans="1:2" x14ac:dyDescent="0.25">
      <c r="A264">
        <v>263</v>
      </c>
      <c r="B264" s="2" t="s">
        <v>73</v>
      </c>
    </row>
    <row r="265" spans="1:2" x14ac:dyDescent="0.25">
      <c r="A265">
        <v>264</v>
      </c>
      <c r="B265" s="2" t="s">
        <v>75</v>
      </c>
    </row>
    <row r="266" spans="1:2" x14ac:dyDescent="0.25">
      <c r="A266">
        <v>265</v>
      </c>
      <c r="B266" s="2" t="s">
        <v>76</v>
      </c>
    </row>
    <row r="267" spans="1:2" x14ac:dyDescent="0.25">
      <c r="A267">
        <v>266</v>
      </c>
      <c r="B267" s="2" t="s">
        <v>73</v>
      </c>
    </row>
    <row r="268" spans="1:2" x14ac:dyDescent="0.25">
      <c r="A268">
        <v>267</v>
      </c>
      <c r="B268" s="2" t="s">
        <v>75</v>
      </c>
    </row>
    <row r="269" spans="1:2" x14ac:dyDescent="0.25">
      <c r="A269">
        <v>268</v>
      </c>
      <c r="B269" s="2" t="s">
        <v>76</v>
      </c>
    </row>
    <row r="270" spans="1:2" x14ac:dyDescent="0.25">
      <c r="A270">
        <v>269</v>
      </c>
      <c r="B270" s="2" t="s">
        <v>73</v>
      </c>
    </row>
    <row r="271" spans="1:2" x14ac:dyDescent="0.25">
      <c r="A271">
        <v>270</v>
      </c>
      <c r="B271" s="2" t="s">
        <v>75</v>
      </c>
    </row>
    <row r="272" spans="1:2" x14ac:dyDescent="0.25">
      <c r="A272">
        <v>271</v>
      </c>
      <c r="B272" s="2" t="s">
        <v>76</v>
      </c>
    </row>
    <row r="273" spans="1:2" x14ac:dyDescent="0.25">
      <c r="A273">
        <v>272</v>
      </c>
      <c r="B273" s="2" t="s">
        <v>73</v>
      </c>
    </row>
    <row r="274" spans="1:2" x14ac:dyDescent="0.25">
      <c r="A274">
        <v>273</v>
      </c>
      <c r="B274" s="2" t="s">
        <v>75</v>
      </c>
    </row>
    <row r="275" spans="1:2" x14ac:dyDescent="0.25">
      <c r="A275">
        <v>274</v>
      </c>
      <c r="B275" s="2" t="s">
        <v>76</v>
      </c>
    </row>
    <row r="276" spans="1:2" x14ac:dyDescent="0.25">
      <c r="A276">
        <v>275</v>
      </c>
      <c r="B276" s="2" t="s">
        <v>73</v>
      </c>
    </row>
    <row r="277" spans="1:2" x14ac:dyDescent="0.25">
      <c r="A277">
        <v>276</v>
      </c>
      <c r="B277" s="2" t="s">
        <v>75</v>
      </c>
    </row>
    <row r="278" spans="1:2" x14ac:dyDescent="0.25">
      <c r="A278">
        <v>277</v>
      </c>
      <c r="B278" s="2" t="s">
        <v>76</v>
      </c>
    </row>
    <row r="279" spans="1:2" x14ac:dyDescent="0.25">
      <c r="A279">
        <v>278</v>
      </c>
      <c r="B279" s="2" t="s">
        <v>73</v>
      </c>
    </row>
    <row r="280" spans="1:2" x14ac:dyDescent="0.25">
      <c r="A280">
        <v>279</v>
      </c>
      <c r="B280" s="2" t="s">
        <v>74</v>
      </c>
    </row>
    <row r="281" spans="1:2" x14ac:dyDescent="0.25">
      <c r="A281">
        <v>280</v>
      </c>
      <c r="B281" s="2" t="s">
        <v>74</v>
      </c>
    </row>
    <row r="282" spans="1:2" x14ac:dyDescent="0.25">
      <c r="A282">
        <v>281</v>
      </c>
      <c r="B282" s="2" t="s">
        <v>74</v>
      </c>
    </row>
    <row r="283" spans="1:2" x14ac:dyDescent="0.25">
      <c r="A283">
        <v>282</v>
      </c>
      <c r="B283" s="2" t="s">
        <v>74</v>
      </c>
    </row>
    <row r="284" spans="1:2" x14ac:dyDescent="0.25">
      <c r="A284">
        <v>283</v>
      </c>
      <c r="B284" s="2" t="s">
        <v>74</v>
      </c>
    </row>
    <row r="285" spans="1:2" x14ac:dyDescent="0.25">
      <c r="A285">
        <v>284</v>
      </c>
      <c r="B285" s="2" t="s">
        <v>74</v>
      </c>
    </row>
    <row r="286" spans="1:2" x14ac:dyDescent="0.25">
      <c r="A286">
        <v>285</v>
      </c>
      <c r="B286" s="2" t="s">
        <v>74</v>
      </c>
    </row>
    <row r="287" spans="1:2" x14ac:dyDescent="0.25">
      <c r="A287">
        <v>286</v>
      </c>
      <c r="B287" s="2" t="s">
        <v>74</v>
      </c>
    </row>
    <row r="288" spans="1:2" x14ac:dyDescent="0.25">
      <c r="A288">
        <v>287</v>
      </c>
      <c r="B288" s="2" t="s">
        <v>74</v>
      </c>
    </row>
    <row r="289" spans="1:2" x14ac:dyDescent="0.25">
      <c r="A289">
        <v>288</v>
      </c>
      <c r="B289" s="2" t="s">
        <v>74</v>
      </c>
    </row>
    <row r="290" spans="1:2" x14ac:dyDescent="0.25">
      <c r="A290">
        <v>289</v>
      </c>
      <c r="B290" s="2" t="s">
        <v>74</v>
      </c>
    </row>
    <row r="291" spans="1:2" x14ac:dyDescent="0.25">
      <c r="A291">
        <v>290</v>
      </c>
      <c r="B291" s="2" t="s">
        <v>74</v>
      </c>
    </row>
    <row r="292" spans="1:2" x14ac:dyDescent="0.25">
      <c r="A292">
        <v>291</v>
      </c>
      <c r="B292" s="2" t="s">
        <v>74</v>
      </c>
    </row>
    <row r="293" spans="1:2" x14ac:dyDescent="0.25">
      <c r="A293">
        <v>292</v>
      </c>
      <c r="B293" s="2" t="s">
        <v>74</v>
      </c>
    </row>
    <row r="294" spans="1:2" x14ac:dyDescent="0.25">
      <c r="A294">
        <v>293</v>
      </c>
      <c r="B294" s="2" t="s">
        <v>74</v>
      </c>
    </row>
    <row r="295" spans="1:2" x14ac:dyDescent="0.25">
      <c r="A295">
        <v>294</v>
      </c>
      <c r="B295" s="2" t="s">
        <v>74</v>
      </c>
    </row>
    <row r="296" spans="1:2" x14ac:dyDescent="0.25">
      <c r="A296">
        <v>295</v>
      </c>
      <c r="B296" s="2" t="s">
        <v>74</v>
      </c>
    </row>
    <row r="297" spans="1:2" x14ac:dyDescent="0.25">
      <c r="A297">
        <v>296</v>
      </c>
      <c r="B297" s="2" t="s">
        <v>74</v>
      </c>
    </row>
    <row r="298" spans="1:2" x14ac:dyDescent="0.25">
      <c r="A298">
        <v>297</v>
      </c>
      <c r="B298" s="2" t="s">
        <v>74</v>
      </c>
    </row>
    <row r="299" spans="1:2" x14ac:dyDescent="0.25">
      <c r="A299">
        <v>298</v>
      </c>
      <c r="B299" s="2" t="s">
        <v>74</v>
      </c>
    </row>
    <row r="300" spans="1:2" x14ac:dyDescent="0.25">
      <c r="A300">
        <v>299</v>
      </c>
      <c r="B300" s="2" t="s">
        <v>74</v>
      </c>
    </row>
    <row r="301" spans="1:2" x14ac:dyDescent="0.25">
      <c r="A301">
        <v>300</v>
      </c>
      <c r="B301" s="2" t="s">
        <v>74</v>
      </c>
    </row>
    <row r="302" spans="1:2" x14ac:dyDescent="0.25">
      <c r="A302">
        <v>301</v>
      </c>
      <c r="B302" s="2" t="s">
        <v>74</v>
      </c>
    </row>
    <row r="303" spans="1:2" x14ac:dyDescent="0.25">
      <c r="A303">
        <v>302</v>
      </c>
      <c r="B303" s="2" t="s">
        <v>74</v>
      </c>
    </row>
    <row r="304" spans="1:2" x14ac:dyDescent="0.25">
      <c r="A304">
        <v>303</v>
      </c>
      <c r="B304" s="2" t="s">
        <v>74</v>
      </c>
    </row>
    <row r="305" spans="1:2" x14ac:dyDescent="0.25">
      <c r="A305">
        <v>304</v>
      </c>
      <c r="B305" s="2" t="s">
        <v>74</v>
      </c>
    </row>
    <row r="306" spans="1:2" x14ac:dyDescent="0.25">
      <c r="A306">
        <v>305</v>
      </c>
      <c r="B306" s="2" t="s">
        <v>74</v>
      </c>
    </row>
    <row r="307" spans="1:2" x14ac:dyDescent="0.25">
      <c r="A307">
        <v>306</v>
      </c>
      <c r="B307" s="2" t="s">
        <v>74</v>
      </c>
    </row>
    <row r="308" spans="1:2" x14ac:dyDescent="0.25">
      <c r="A308">
        <v>307</v>
      </c>
      <c r="B308" s="2" t="s">
        <v>74</v>
      </c>
    </row>
    <row r="309" spans="1:2" x14ac:dyDescent="0.25">
      <c r="A309">
        <v>308</v>
      </c>
      <c r="B309" s="2" t="s">
        <v>74</v>
      </c>
    </row>
    <row r="310" spans="1:2" x14ac:dyDescent="0.25">
      <c r="A310">
        <v>309</v>
      </c>
      <c r="B310" s="2" t="s">
        <v>74</v>
      </c>
    </row>
  </sheetData>
  <phoneticPr fontId="1" type="noConversion"/>
  <conditionalFormatting sqref="K311:K1048576 L1:L310">
    <cfRule type="colorScale" priority="13">
      <colorScale>
        <cfvo type="min"/>
        <cfvo type="percentile" val="50"/>
        <cfvo type="max"/>
        <color rgb="FFF8696B"/>
        <color rgb="FFFFEB84"/>
        <color rgb="FF63BE7B"/>
      </colorScale>
    </cfRule>
  </conditionalFormatting>
  <conditionalFormatting sqref="L311:L1048576 M1:M310">
    <cfRule type="colorScale" priority="12">
      <colorScale>
        <cfvo type="min"/>
        <cfvo type="percentile" val="50"/>
        <cfvo type="max"/>
        <color rgb="FFF8696B"/>
        <color rgb="FFFFEB84"/>
        <color rgb="FF63BE7B"/>
      </colorScale>
    </cfRule>
  </conditionalFormatting>
  <conditionalFormatting sqref="M311:M1048576 N1:N310">
    <cfRule type="colorScale" priority="11">
      <colorScale>
        <cfvo type="min"/>
        <cfvo type="percentile" val="50"/>
        <cfvo type="max"/>
        <color rgb="FFF8696B"/>
        <color rgb="FFFFEB84"/>
        <color rgb="FF63BE7B"/>
      </colorScale>
    </cfRule>
  </conditionalFormatting>
  <conditionalFormatting sqref="O1:O310 N311:O1048576">
    <cfRule type="colorScale" priority="10">
      <colorScale>
        <cfvo type="min"/>
        <cfvo type="percentile" val="50"/>
        <cfvo type="max"/>
        <color rgb="FFF8696B"/>
        <color rgb="FFFFEB84"/>
        <color rgb="FF63BE7B"/>
      </colorScale>
    </cfRule>
  </conditionalFormatting>
  <conditionalFormatting sqref="K2:K310">
    <cfRule type="containsText" dxfId="7" priority="5" operator="containsText" text="Bulwark">
      <formula>NOT(ISERROR(SEARCH("Bulwark",K2)))</formula>
    </cfRule>
    <cfRule type="containsText" dxfId="6" priority="4" operator="containsText" text="Scholarium">
      <formula>NOT(ISERROR(SEARCH("Scholarium",K2)))</formula>
    </cfRule>
    <cfRule type="containsText" dxfId="4" priority="3" operator="containsText" text="Prospectorium">
      <formula>NOT(ISERROR(SEARCH("Prospectorium",K2)))</formula>
    </cfRule>
    <cfRule type="containsText" dxfId="5" priority="1" operator="containsText" text="Overlord">
      <formula>NOT(ISERROR(SEARCH("Overlord",K2)))</formula>
    </cfRule>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F6FA2-8651-4203-8FEA-2BFE18862D83}">
  <sheetPr codeName="Sheet3">
    <tabColor rgb="FFFFC000"/>
  </sheetPr>
  <dimension ref="A1:N88"/>
  <sheetViews>
    <sheetView workbookViewId="0">
      <selection activeCell="D27" sqref="D27"/>
    </sheetView>
  </sheetViews>
  <sheetFormatPr defaultRowHeight="15" x14ac:dyDescent="0.25"/>
  <cols>
    <col min="1" max="1" width="18.5703125" bestFit="1" customWidth="1"/>
    <col min="2" max="2" width="10.28515625" customWidth="1"/>
    <col min="3" max="3" width="19.85546875" bestFit="1" customWidth="1"/>
    <col min="4" max="4" width="25" bestFit="1" customWidth="1"/>
    <col min="5" max="5" width="10.28515625" customWidth="1"/>
    <col min="6" max="6" width="10.85546875" bestFit="1" customWidth="1"/>
    <col min="7" max="7" width="17.140625" customWidth="1"/>
    <col min="8" max="8" width="19.140625" customWidth="1"/>
    <col min="9" max="9" width="13.42578125" customWidth="1"/>
    <col min="10" max="10" width="23.42578125" bestFit="1" customWidth="1"/>
    <col min="11" max="11" width="30.5703125" bestFit="1" customWidth="1"/>
    <col min="12" max="12" width="31.140625" bestFit="1" customWidth="1"/>
    <col min="13" max="13" width="23.42578125" bestFit="1" customWidth="1"/>
    <col min="14" max="14" width="18.7109375" bestFit="1" customWidth="1"/>
  </cols>
  <sheetData>
    <row r="1" spans="1:14" x14ac:dyDescent="0.25">
      <c r="A1" t="s">
        <v>8</v>
      </c>
      <c r="B1" t="s">
        <v>395</v>
      </c>
      <c r="C1" t="s">
        <v>25</v>
      </c>
      <c r="D1" t="s">
        <v>33</v>
      </c>
      <c r="E1" t="s">
        <v>334</v>
      </c>
      <c r="F1" t="s">
        <v>58</v>
      </c>
      <c r="G1" t="s">
        <v>117</v>
      </c>
      <c r="H1" t="s">
        <v>106</v>
      </c>
      <c r="I1" t="s">
        <v>113</v>
      </c>
      <c r="J1" t="s">
        <v>225</v>
      </c>
      <c r="K1" t="s">
        <v>264</v>
      </c>
      <c r="L1" t="s">
        <v>265</v>
      </c>
      <c r="M1" t="s">
        <v>276</v>
      </c>
      <c r="N1" t="s">
        <v>403</v>
      </c>
    </row>
    <row r="2" spans="1:14" x14ac:dyDescent="0.25">
      <c r="A2" t="s">
        <v>9</v>
      </c>
      <c r="B2" t="str">
        <f ca="1">SUBSTITUTE(LEFT(CELL("filename",A1),FIND("]",CELL("filename",A1))-1),"[","")</f>
        <v>C:\Users\phoxy\Desktop\League.xlsx</v>
      </c>
      <c r="C2" t="s">
        <v>26</v>
      </c>
      <c r="D2" t="s">
        <v>36</v>
      </c>
      <c r="F2" t="s">
        <v>35</v>
      </c>
      <c r="G2" t="s">
        <v>109</v>
      </c>
      <c r="H2">
        <v>1</v>
      </c>
      <c r="I2" t="s">
        <v>114</v>
      </c>
      <c r="J2" t="s">
        <v>118</v>
      </c>
      <c r="K2" t="s">
        <v>228</v>
      </c>
      <c r="L2" t="s">
        <v>253</v>
      </c>
      <c r="M2" t="s">
        <v>278</v>
      </c>
      <c r="N2" t="s">
        <v>404</v>
      </c>
    </row>
    <row r="3" spans="1:14" x14ac:dyDescent="0.25">
      <c r="A3" t="s">
        <v>12</v>
      </c>
      <c r="C3" t="s">
        <v>27</v>
      </c>
      <c r="D3" t="s">
        <v>37</v>
      </c>
      <c r="F3" t="s">
        <v>59</v>
      </c>
      <c r="G3" t="s">
        <v>388</v>
      </c>
      <c r="H3">
        <v>2</v>
      </c>
      <c r="I3" t="s">
        <v>115</v>
      </c>
      <c r="J3" t="s">
        <v>119</v>
      </c>
      <c r="K3" t="s">
        <v>229</v>
      </c>
      <c r="L3" t="s">
        <v>254</v>
      </c>
      <c r="M3" t="s">
        <v>279</v>
      </c>
      <c r="N3" t="s">
        <v>405</v>
      </c>
    </row>
    <row r="4" spans="1:14" x14ac:dyDescent="0.25">
      <c r="A4" t="s">
        <v>10</v>
      </c>
      <c r="C4" t="s">
        <v>28</v>
      </c>
      <c r="D4" t="s">
        <v>38</v>
      </c>
      <c r="F4" t="s">
        <v>60</v>
      </c>
      <c r="G4" t="s">
        <v>110</v>
      </c>
      <c r="H4">
        <v>3</v>
      </c>
      <c r="I4" t="s">
        <v>116</v>
      </c>
      <c r="J4" t="s">
        <v>120</v>
      </c>
      <c r="K4" t="s">
        <v>230</v>
      </c>
      <c r="L4" t="s">
        <v>255</v>
      </c>
      <c r="M4" t="s">
        <v>280</v>
      </c>
      <c r="N4" t="s">
        <v>406</v>
      </c>
    </row>
    <row r="5" spans="1:14" x14ac:dyDescent="0.25">
      <c r="A5" t="s">
        <v>11</v>
      </c>
      <c r="C5" t="s">
        <v>29</v>
      </c>
      <c r="D5" t="s">
        <v>39</v>
      </c>
      <c r="F5" t="s">
        <v>61</v>
      </c>
      <c r="G5" t="s">
        <v>389</v>
      </c>
      <c r="H5">
        <v>4</v>
      </c>
      <c r="J5" t="s">
        <v>121</v>
      </c>
      <c r="K5" t="s">
        <v>231</v>
      </c>
      <c r="L5" t="s">
        <v>256</v>
      </c>
      <c r="M5" t="s">
        <v>281</v>
      </c>
      <c r="N5" t="s">
        <v>407</v>
      </c>
    </row>
    <row r="6" spans="1:14" x14ac:dyDescent="0.25">
      <c r="A6" t="s">
        <v>7</v>
      </c>
      <c r="C6" t="s">
        <v>91</v>
      </c>
      <c r="D6" t="s">
        <v>40</v>
      </c>
      <c r="F6" t="s">
        <v>62</v>
      </c>
      <c r="G6" t="s">
        <v>111</v>
      </c>
      <c r="H6">
        <v>5</v>
      </c>
      <c r="J6" t="s">
        <v>122</v>
      </c>
      <c r="K6" t="s">
        <v>232</v>
      </c>
      <c r="L6" t="s">
        <v>257</v>
      </c>
      <c r="M6" t="s">
        <v>282</v>
      </c>
    </row>
    <row r="7" spans="1:14" x14ac:dyDescent="0.25">
      <c r="A7" t="s">
        <v>13</v>
      </c>
      <c r="C7" t="s">
        <v>30</v>
      </c>
      <c r="D7" t="s">
        <v>41</v>
      </c>
      <c r="F7" t="s">
        <v>63</v>
      </c>
      <c r="G7" t="s">
        <v>390</v>
      </c>
      <c r="H7">
        <v>6</v>
      </c>
      <c r="J7" t="s">
        <v>123</v>
      </c>
      <c r="K7" t="s">
        <v>233</v>
      </c>
      <c r="L7" t="s">
        <v>266</v>
      </c>
      <c r="M7" t="s">
        <v>283</v>
      </c>
    </row>
    <row r="8" spans="1:14" x14ac:dyDescent="0.25">
      <c r="A8" t="s">
        <v>14</v>
      </c>
      <c r="C8" t="s">
        <v>31</v>
      </c>
      <c r="D8" t="s">
        <v>42</v>
      </c>
      <c r="F8" t="s">
        <v>64</v>
      </c>
      <c r="G8" t="s">
        <v>112</v>
      </c>
      <c r="H8">
        <v>7</v>
      </c>
      <c r="J8" t="s">
        <v>124</v>
      </c>
      <c r="K8" t="s">
        <v>234</v>
      </c>
      <c r="L8" t="s">
        <v>258</v>
      </c>
      <c r="M8" t="s">
        <v>284</v>
      </c>
    </row>
    <row r="9" spans="1:14" x14ac:dyDescent="0.25">
      <c r="A9" t="s">
        <v>15</v>
      </c>
      <c r="D9" t="s">
        <v>43</v>
      </c>
      <c r="F9" t="s">
        <v>65</v>
      </c>
      <c r="G9" t="s">
        <v>391</v>
      </c>
      <c r="H9">
        <v>8</v>
      </c>
      <c r="J9" t="s">
        <v>125</v>
      </c>
      <c r="K9" t="s">
        <v>235</v>
      </c>
      <c r="L9" t="s">
        <v>259</v>
      </c>
      <c r="M9" t="s">
        <v>285</v>
      </c>
    </row>
    <row r="10" spans="1:14" x14ac:dyDescent="0.25">
      <c r="A10" t="s">
        <v>16</v>
      </c>
      <c r="D10" t="s">
        <v>44</v>
      </c>
      <c r="F10" t="s">
        <v>66</v>
      </c>
      <c r="H10">
        <v>9</v>
      </c>
      <c r="J10" t="s">
        <v>126</v>
      </c>
      <c r="K10" t="s">
        <v>236</v>
      </c>
      <c r="L10" t="s">
        <v>260</v>
      </c>
      <c r="M10" t="s">
        <v>286</v>
      </c>
    </row>
    <row r="11" spans="1:14" x14ac:dyDescent="0.25">
      <c r="A11" t="s">
        <v>17</v>
      </c>
      <c r="D11" t="s">
        <v>45</v>
      </c>
      <c r="F11" t="s">
        <v>67</v>
      </c>
      <c r="H11">
        <v>10</v>
      </c>
      <c r="J11" t="s">
        <v>127</v>
      </c>
      <c r="K11" t="s">
        <v>237</v>
      </c>
      <c r="L11" t="s">
        <v>261</v>
      </c>
      <c r="M11" t="s">
        <v>311</v>
      </c>
    </row>
    <row r="12" spans="1:14" x14ac:dyDescent="0.25">
      <c r="A12" t="s">
        <v>18</v>
      </c>
      <c r="D12" t="s">
        <v>46</v>
      </c>
      <c r="F12" t="s">
        <v>68</v>
      </c>
      <c r="H12">
        <v>11</v>
      </c>
      <c r="J12" t="s">
        <v>128</v>
      </c>
      <c r="K12" t="s">
        <v>238</v>
      </c>
      <c r="L12" t="s">
        <v>262</v>
      </c>
      <c r="M12" t="s">
        <v>312</v>
      </c>
    </row>
    <row r="13" spans="1:14" x14ac:dyDescent="0.25">
      <c r="A13" t="s">
        <v>19</v>
      </c>
      <c r="D13" t="s">
        <v>47</v>
      </c>
      <c r="F13" t="s">
        <v>69</v>
      </c>
      <c r="H13">
        <v>12</v>
      </c>
      <c r="J13" t="s">
        <v>129</v>
      </c>
      <c r="K13" t="s">
        <v>239</v>
      </c>
      <c r="L13" t="s">
        <v>263</v>
      </c>
      <c r="M13" t="s">
        <v>313</v>
      </c>
    </row>
    <row r="14" spans="1:14" ht="15" customHeight="1" x14ac:dyDescent="0.25">
      <c r="A14" t="s">
        <v>20</v>
      </c>
      <c r="D14" t="s">
        <v>48</v>
      </c>
      <c r="F14" t="s">
        <v>91</v>
      </c>
      <c r="H14">
        <v>13</v>
      </c>
      <c r="J14" t="s">
        <v>130</v>
      </c>
      <c r="K14" t="s">
        <v>240</v>
      </c>
      <c r="L14" t="s">
        <v>277</v>
      </c>
      <c r="M14" t="s">
        <v>314</v>
      </c>
    </row>
    <row r="15" spans="1:14" x14ac:dyDescent="0.25">
      <c r="A15" t="s">
        <v>21</v>
      </c>
      <c r="D15" t="s">
        <v>49</v>
      </c>
      <c r="H15">
        <v>14</v>
      </c>
      <c r="J15" t="s">
        <v>131</v>
      </c>
      <c r="K15" t="s">
        <v>241</v>
      </c>
      <c r="L15" t="s">
        <v>303</v>
      </c>
      <c r="M15" t="s">
        <v>315</v>
      </c>
    </row>
    <row r="16" spans="1:14" x14ac:dyDescent="0.25">
      <c r="A16" t="s">
        <v>22</v>
      </c>
      <c r="D16" t="s">
        <v>50</v>
      </c>
      <c r="H16">
        <v>15</v>
      </c>
      <c r="J16" t="s">
        <v>132</v>
      </c>
      <c r="K16" t="s">
        <v>242</v>
      </c>
      <c r="L16" t="s">
        <v>304</v>
      </c>
      <c r="M16" t="s">
        <v>316</v>
      </c>
    </row>
    <row r="17" spans="1:13" x14ac:dyDescent="0.25">
      <c r="A17" t="s">
        <v>23</v>
      </c>
      <c r="D17" t="s">
        <v>51</v>
      </c>
      <c r="H17">
        <v>16</v>
      </c>
      <c r="J17" t="s">
        <v>133</v>
      </c>
      <c r="K17" t="s">
        <v>243</v>
      </c>
      <c r="L17" t="s">
        <v>305</v>
      </c>
      <c r="M17" t="s">
        <v>317</v>
      </c>
    </row>
    <row r="18" spans="1:13" x14ac:dyDescent="0.25">
      <c r="A18" t="s">
        <v>24</v>
      </c>
      <c r="D18" t="s">
        <v>52</v>
      </c>
      <c r="H18">
        <v>17</v>
      </c>
      <c r="J18" t="s">
        <v>134</v>
      </c>
      <c r="K18" t="s">
        <v>244</v>
      </c>
      <c r="L18" t="s">
        <v>306</v>
      </c>
    </row>
    <row r="19" spans="1:13" x14ac:dyDescent="0.25">
      <c r="D19" t="s">
        <v>53</v>
      </c>
      <c r="H19">
        <v>18</v>
      </c>
      <c r="J19" t="s">
        <v>135</v>
      </c>
      <c r="K19" t="s">
        <v>245</v>
      </c>
      <c r="L19" t="s">
        <v>307</v>
      </c>
    </row>
    <row r="20" spans="1:13" x14ac:dyDescent="0.25">
      <c r="D20" t="s">
        <v>54</v>
      </c>
      <c r="H20">
        <v>19</v>
      </c>
      <c r="J20" t="s">
        <v>136</v>
      </c>
      <c r="K20" t="s">
        <v>246</v>
      </c>
      <c r="L20" t="s">
        <v>308</v>
      </c>
    </row>
    <row r="21" spans="1:13" x14ac:dyDescent="0.25">
      <c r="D21" t="s">
        <v>55</v>
      </c>
      <c r="H21">
        <v>20</v>
      </c>
      <c r="J21" t="s">
        <v>137</v>
      </c>
      <c r="K21" t="s">
        <v>247</v>
      </c>
      <c r="L21" t="s">
        <v>309</v>
      </c>
    </row>
    <row r="22" spans="1:13" x14ac:dyDescent="0.25">
      <c r="D22" t="s">
        <v>56</v>
      </c>
      <c r="H22" t="s">
        <v>371</v>
      </c>
      <c r="J22" t="s">
        <v>138</v>
      </c>
      <c r="K22" t="s">
        <v>248</v>
      </c>
    </row>
    <row r="23" spans="1:13" x14ac:dyDescent="0.25">
      <c r="D23" t="s">
        <v>57</v>
      </c>
      <c r="J23" t="s">
        <v>139</v>
      </c>
      <c r="K23" t="s">
        <v>249</v>
      </c>
    </row>
    <row r="24" spans="1:13" x14ac:dyDescent="0.25">
      <c r="D24" t="s">
        <v>397</v>
      </c>
      <c r="J24" t="s">
        <v>140</v>
      </c>
      <c r="K24" t="s">
        <v>250</v>
      </c>
    </row>
    <row r="25" spans="1:13" x14ac:dyDescent="0.25">
      <c r="D25" t="s">
        <v>398</v>
      </c>
      <c r="J25" t="s">
        <v>141</v>
      </c>
      <c r="K25" t="s">
        <v>252</v>
      </c>
    </row>
    <row r="26" spans="1:13" x14ac:dyDescent="0.25">
      <c r="D26" t="s">
        <v>399</v>
      </c>
      <c r="J26" t="s">
        <v>142</v>
      </c>
      <c r="K26" t="s">
        <v>251</v>
      </c>
    </row>
    <row r="27" spans="1:13" x14ac:dyDescent="0.25">
      <c r="D27" t="s">
        <v>400</v>
      </c>
      <c r="J27" t="s">
        <v>143</v>
      </c>
      <c r="K27" t="s">
        <v>267</v>
      </c>
    </row>
    <row r="28" spans="1:13" x14ac:dyDescent="0.25">
      <c r="D28" t="s">
        <v>401</v>
      </c>
      <c r="J28" t="s">
        <v>144</v>
      </c>
      <c r="K28" t="s">
        <v>268</v>
      </c>
    </row>
    <row r="29" spans="1:13" x14ac:dyDescent="0.25">
      <c r="J29" t="s">
        <v>145</v>
      </c>
      <c r="K29" t="s">
        <v>269</v>
      </c>
    </row>
    <row r="30" spans="1:13" x14ac:dyDescent="0.25">
      <c r="J30" t="s">
        <v>146</v>
      </c>
      <c r="K30" t="s">
        <v>66</v>
      </c>
    </row>
    <row r="31" spans="1:13" x14ac:dyDescent="0.25">
      <c r="J31" t="s">
        <v>147</v>
      </c>
      <c r="K31" t="s">
        <v>270</v>
      </c>
    </row>
    <row r="32" spans="1:13" x14ac:dyDescent="0.25">
      <c r="J32" t="s">
        <v>148</v>
      </c>
      <c r="K32" t="s">
        <v>328</v>
      </c>
    </row>
    <row r="33" spans="10:11" x14ac:dyDescent="0.25">
      <c r="J33" t="s">
        <v>149</v>
      </c>
      <c r="K33" t="s">
        <v>271</v>
      </c>
    </row>
    <row r="34" spans="10:11" x14ac:dyDescent="0.25">
      <c r="J34" t="s">
        <v>150</v>
      </c>
      <c r="K34" t="s">
        <v>272</v>
      </c>
    </row>
    <row r="35" spans="10:11" x14ac:dyDescent="0.25">
      <c r="J35" t="s">
        <v>151</v>
      </c>
      <c r="K35" t="s">
        <v>273</v>
      </c>
    </row>
    <row r="36" spans="10:11" x14ac:dyDescent="0.25">
      <c r="J36" t="s">
        <v>152</v>
      </c>
      <c r="K36" t="s">
        <v>274</v>
      </c>
    </row>
    <row r="37" spans="10:11" x14ac:dyDescent="0.25">
      <c r="J37" t="s">
        <v>153</v>
      </c>
      <c r="K37" t="s">
        <v>275</v>
      </c>
    </row>
    <row r="38" spans="10:11" x14ac:dyDescent="0.25">
      <c r="J38" t="s">
        <v>154</v>
      </c>
      <c r="K38" t="s">
        <v>55</v>
      </c>
    </row>
    <row r="39" spans="10:11" x14ac:dyDescent="0.25">
      <c r="J39" t="s">
        <v>155</v>
      </c>
      <c r="K39" t="s">
        <v>69</v>
      </c>
    </row>
    <row r="40" spans="10:11" x14ac:dyDescent="0.25">
      <c r="J40" t="s">
        <v>156</v>
      </c>
      <c r="K40" t="s">
        <v>287</v>
      </c>
    </row>
    <row r="41" spans="10:11" x14ac:dyDescent="0.25">
      <c r="J41" t="s">
        <v>157</v>
      </c>
      <c r="K41" t="s">
        <v>288</v>
      </c>
    </row>
    <row r="42" spans="10:11" x14ac:dyDescent="0.25">
      <c r="J42" t="s">
        <v>158</v>
      </c>
      <c r="K42" t="s">
        <v>289</v>
      </c>
    </row>
    <row r="43" spans="10:11" x14ac:dyDescent="0.25">
      <c r="J43" t="s">
        <v>159</v>
      </c>
      <c r="K43" t="s">
        <v>290</v>
      </c>
    </row>
    <row r="44" spans="10:11" x14ac:dyDescent="0.25">
      <c r="J44" t="s">
        <v>160</v>
      </c>
      <c r="K44" t="s">
        <v>291</v>
      </c>
    </row>
    <row r="45" spans="10:11" x14ac:dyDescent="0.25">
      <c r="J45" t="s">
        <v>161</v>
      </c>
      <c r="K45" t="s">
        <v>292</v>
      </c>
    </row>
    <row r="46" spans="10:11" x14ac:dyDescent="0.25">
      <c r="J46" t="s">
        <v>162</v>
      </c>
      <c r="K46" t="s">
        <v>293</v>
      </c>
    </row>
    <row r="47" spans="10:11" x14ac:dyDescent="0.25">
      <c r="J47" t="s">
        <v>163</v>
      </c>
      <c r="K47" t="s">
        <v>294</v>
      </c>
    </row>
    <row r="48" spans="10:11" x14ac:dyDescent="0.25">
      <c r="J48" t="s">
        <v>164</v>
      </c>
      <c r="K48" t="s">
        <v>295</v>
      </c>
    </row>
    <row r="49" spans="10:11" x14ac:dyDescent="0.25">
      <c r="J49" t="s">
        <v>165</v>
      </c>
      <c r="K49" t="s">
        <v>296</v>
      </c>
    </row>
    <row r="50" spans="10:11" x14ac:dyDescent="0.25">
      <c r="J50" t="s">
        <v>166</v>
      </c>
      <c r="K50" t="s">
        <v>297</v>
      </c>
    </row>
    <row r="51" spans="10:11" x14ac:dyDescent="0.25">
      <c r="J51" t="s">
        <v>167</v>
      </c>
      <c r="K51" t="s">
        <v>298</v>
      </c>
    </row>
    <row r="52" spans="10:11" x14ac:dyDescent="0.25">
      <c r="J52" t="s">
        <v>168</v>
      </c>
      <c r="K52" t="s">
        <v>299</v>
      </c>
    </row>
    <row r="53" spans="10:11" x14ac:dyDescent="0.25">
      <c r="J53" t="s">
        <v>169</v>
      </c>
      <c r="K53" t="s">
        <v>301</v>
      </c>
    </row>
    <row r="54" spans="10:11" x14ac:dyDescent="0.25">
      <c r="J54" t="s">
        <v>170</v>
      </c>
      <c r="K54" t="s">
        <v>300</v>
      </c>
    </row>
    <row r="55" spans="10:11" x14ac:dyDescent="0.25">
      <c r="J55" t="s">
        <v>171</v>
      </c>
      <c r="K55" t="s">
        <v>300</v>
      </c>
    </row>
    <row r="56" spans="10:11" x14ac:dyDescent="0.25">
      <c r="J56" t="s">
        <v>145</v>
      </c>
      <c r="K56" t="s">
        <v>326</v>
      </c>
    </row>
    <row r="57" spans="10:11" x14ac:dyDescent="0.25">
      <c r="J57" t="s">
        <v>174</v>
      </c>
      <c r="K57" t="s">
        <v>302</v>
      </c>
    </row>
    <row r="58" spans="10:11" x14ac:dyDescent="0.25">
      <c r="J58" t="s">
        <v>175</v>
      </c>
      <c r="K58" t="s">
        <v>327</v>
      </c>
    </row>
    <row r="59" spans="10:11" x14ac:dyDescent="0.25">
      <c r="J59" t="s">
        <v>176</v>
      </c>
      <c r="K59" t="s">
        <v>68</v>
      </c>
    </row>
    <row r="60" spans="10:11" x14ac:dyDescent="0.25">
      <c r="J60" t="s">
        <v>177</v>
      </c>
    </row>
    <row r="61" spans="10:11" x14ac:dyDescent="0.25">
      <c r="J61" t="s">
        <v>178</v>
      </c>
    </row>
    <row r="62" spans="10:11" x14ac:dyDescent="0.25">
      <c r="J62" t="s">
        <v>179</v>
      </c>
    </row>
    <row r="63" spans="10:11" x14ac:dyDescent="0.25">
      <c r="J63" t="s">
        <v>180</v>
      </c>
    </row>
    <row r="64" spans="10:11" x14ac:dyDescent="0.25">
      <c r="J64" t="s">
        <v>181</v>
      </c>
    </row>
    <row r="65" spans="10:10" x14ac:dyDescent="0.25">
      <c r="J65" t="s">
        <v>182</v>
      </c>
    </row>
    <row r="66" spans="10:10" x14ac:dyDescent="0.25">
      <c r="J66" t="s">
        <v>183</v>
      </c>
    </row>
    <row r="67" spans="10:10" x14ac:dyDescent="0.25">
      <c r="J67" t="s">
        <v>184</v>
      </c>
    </row>
    <row r="68" spans="10:10" x14ac:dyDescent="0.25">
      <c r="J68" t="s">
        <v>185</v>
      </c>
    </row>
    <row r="69" spans="10:10" x14ac:dyDescent="0.25">
      <c r="J69" t="s">
        <v>186</v>
      </c>
    </row>
    <row r="70" spans="10:10" x14ac:dyDescent="0.25">
      <c r="J70" t="s">
        <v>187</v>
      </c>
    </row>
    <row r="71" spans="10:10" x14ac:dyDescent="0.25">
      <c r="J71" t="s">
        <v>188</v>
      </c>
    </row>
    <row r="72" spans="10:10" x14ac:dyDescent="0.25">
      <c r="J72" t="s">
        <v>189</v>
      </c>
    </row>
    <row r="73" spans="10:10" x14ac:dyDescent="0.25">
      <c r="J73" t="s">
        <v>190</v>
      </c>
    </row>
    <row r="74" spans="10:10" x14ac:dyDescent="0.25">
      <c r="J74" t="s">
        <v>191</v>
      </c>
    </row>
    <row r="75" spans="10:10" x14ac:dyDescent="0.25">
      <c r="J75" t="s">
        <v>192</v>
      </c>
    </row>
    <row r="76" spans="10:10" x14ac:dyDescent="0.25">
      <c r="J76" t="s">
        <v>193</v>
      </c>
    </row>
    <row r="77" spans="10:10" x14ac:dyDescent="0.25">
      <c r="J77" t="s">
        <v>194</v>
      </c>
    </row>
    <row r="78" spans="10:10" x14ac:dyDescent="0.25">
      <c r="J78" t="s">
        <v>195</v>
      </c>
    </row>
    <row r="79" spans="10:10" x14ac:dyDescent="0.25">
      <c r="J79" t="s">
        <v>196</v>
      </c>
    </row>
    <row r="80" spans="10:10" x14ac:dyDescent="0.25">
      <c r="J80" t="s">
        <v>197</v>
      </c>
    </row>
    <row r="81" spans="10:10" x14ac:dyDescent="0.25">
      <c r="J81" t="s">
        <v>198</v>
      </c>
    </row>
    <row r="82" spans="10:10" x14ac:dyDescent="0.25">
      <c r="J82" t="s">
        <v>199</v>
      </c>
    </row>
    <row r="83" spans="10:10" x14ac:dyDescent="0.25">
      <c r="J83" t="s">
        <v>200</v>
      </c>
    </row>
    <row r="84" spans="10:10" x14ac:dyDescent="0.25">
      <c r="J84" t="s">
        <v>201</v>
      </c>
    </row>
    <row r="85" spans="10:10" x14ac:dyDescent="0.25">
      <c r="J85" t="s">
        <v>202</v>
      </c>
    </row>
    <row r="86" spans="10:10" x14ac:dyDescent="0.25">
      <c r="J86" t="s">
        <v>203</v>
      </c>
    </row>
    <row r="87" spans="10:10" x14ac:dyDescent="0.25">
      <c r="J87" t="s">
        <v>204</v>
      </c>
    </row>
    <row r="88" spans="10:10" x14ac:dyDescent="0.25">
      <c r="J88" t="s">
        <v>205</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4325F-2046-4D33-AA89-C1543EAAB297}">
  <sheetPr codeName="Sheet4">
    <tabColor theme="9"/>
  </sheetPr>
  <dimension ref="A1:Z31"/>
  <sheetViews>
    <sheetView topLeftCell="N1" workbookViewId="0">
      <selection activeCell="Z1" sqref="Z1"/>
    </sheetView>
  </sheetViews>
  <sheetFormatPr defaultRowHeight="15" x14ac:dyDescent="0.25"/>
  <cols>
    <col min="1" max="1" width="32.7109375" bestFit="1" customWidth="1"/>
    <col min="2" max="2" width="20.5703125" bestFit="1" customWidth="1"/>
    <col min="3" max="3" width="19.85546875" bestFit="1" customWidth="1"/>
    <col min="4" max="4" width="18.5703125" bestFit="1" customWidth="1"/>
    <col min="5" max="5" width="13.85546875" bestFit="1" customWidth="1"/>
    <col min="7" max="7" width="18.140625" bestFit="1" customWidth="1"/>
    <col min="8" max="8" width="9.42578125" bestFit="1" customWidth="1"/>
    <col min="9" max="9" width="15.28515625" bestFit="1" customWidth="1"/>
    <col min="10" max="10" width="23.42578125" bestFit="1" customWidth="1"/>
    <col min="11" max="11" width="22.5703125" bestFit="1" customWidth="1"/>
    <col min="12" max="12" width="14.42578125" bestFit="1" customWidth="1"/>
    <col min="13" max="13" width="20.140625" bestFit="1" customWidth="1"/>
    <col min="14" max="14" width="15.7109375" bestFit="1" customWidth="1"/>
    <col min="15" max="15" width="19.140625" bestFit="1" customWidth="1"/>
    <col min="16" max="17" width="15.7109375" bestFit="1" customWidth="1"/>
    <col min="18" max="18" width="10.7109375" bestFit="1" customWidth="1"/>
    <col min="19" max="19" width="14.42578125" bestFit="1" customWidth="1"/>
    <col min="20" max="20" width="16" bestFit="1" customWidth="1"/>
    <col min="21" max="21" width="10.85546875" customWidth="1"/>
    <col min="22" max="22" width="20.42578125" bestFit="1" customWidth="1"/>
    <col min="23" max="23" width="22.140625" bestFit="1" customWidth="1"/>
    <col min="24" max="24" width="17.140625" bestFit="1" customWidth="1"/>
    <col min="25" max="25" width="15.7109375" bestFit="1" customWidth="1"/>
    <col min="26" max="26" width="20.8554687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325</v>
      </c>
      <c r="V1" s="1" t="s">
        <v>276</v>
      </c>
      <c r="W1" s="1" t="s">
        <v>106</v>
      </c>
      <c r="X1" s="1" t="s">
        <v>107</v>
      </c>
      <c r="Y1" s="1" t="s">
        <v>108</v>
      </c>
      <c r="Z1" s="1" t="s">
        <v>421</v>
      </c>
    </row>
    <row r="2" spans="1:26" x14ac:dyDescent="0.25">
      <c r="A2" t="s">
        <v>88</v>
      </c>
      <c r="B2" t="s">
        <v>46</v>
      </c>
      <c r="C2" t="s">
        <v>35</v>
      </c>
      <c r="D2" t="s">
        <v>11</v>
      </c>
      <c r="E2" t="s">
        <v>14</v>
      </c>
      <c r="G2" t="s">
        <v>27</v>
      </c>
      <c r="H2" s="1">
        <v>586</v>
      </c>
      <c r="I2" s="1">
        <v>0</v>
      </c>
      <c r="J2" s="1">
        <v>4067</v>
      </c>
      <c r="K2" s="1">
        <v>4</v>
      </c>
      <c r="L2" s="1" t="s">
        <v>126</v>
      </c>
      <c r="M2" s="1" t="s">
        <v>136</v>
      </c>
      <c r="N2" s="1" t="s">
        <v>240</v>
      </c>
      <c r="O2" s="1" t="s">
        <v>251</v>
      </c>
      <c r="P2" s="1" t="s">
        <v>245</v>
      </c>
      <c r="Q2" s="1"/>
      <c r="R2" s="1"/>
      <c r="S2" s="1" t="s">
        <v>259</v>
      </c>
      <c r="T2" s="1" t="s">
        <v>255</v>
      </c>
      <c r="U2" s="1"/>
      <c r="V2" s="1" t="s">
        <v>317</v>
      </c>
      <c r="W2" s="1">
        <v>16</v>
      </c>
      <c r="X2" s="1" t="s">
        <v>111</v>
      </c>
      <c r="Y2" s="1" t="s">
        <v>116</v>
      </c>
      <c r="Z2" s="1" t="s">
        <v>405</v>
      </c>
    </row>
    <row r="3" spans="1:26" x14ac:dyDescent="0.25">
      <c r="A3" t="s">
        <v>89</v>
      </c>
      <c r="B3" t="s">
        <v>42</v>
      </c>
      <c r="C3" t="s">
        <v>69</v>
      </c>
      <c r="D3" t="s">
        <v>24</v>
      </c>
      <c r="G3" t="s">
        <v>30</v>
      </c>
      <c r="H3" s="1">
        <v>1355</v>
      </c>
      <c r="I3" s="1">
        <v>151800</v>
      </c>
      <c r="J3" s="1">
        <v>18069</v>
      </c>
      <c r="K3" s="1">
        <v>20</v>
      </c>
      <c r="L3" s="1" t="s">
        <v>197</v>
      </c>
      <c r="M3" s="1" t="s">
        <v>195</v>
      </c>
      <c r="N3" s="1" t="s">
        <v>69</v>
      </c>
      <c r="O3" s="1" t="s">
        <v>326</v>
      </c>
      <c r="P3" s="1" t="s">
        <v>298</v>
      </c>
      <c r="Q3" s="1"/>
      <c r="R3" s="1"/>
      <c r="S3" s="1" t="s">
        <v>303</v>
      </c>
      <c r="T3" s="1" t="s">
        <v>304</v>
      </c>
      <c r="U3" s="1"/>
      <c r="V3" s="1" t="s">
        <v>316</v>
      </c>
      <c r="W3" s="1">
        <v>8</v>
      </c>
      <c r="X3" s="1" t="s">
        <v>389</v>
      </c>
      <c r="Y3" s="1" t="s">
        <v>114</v>
      </c>
      <c r="Z3" s="1" t="s">
        <v>406</v>
      </c>
    </row>
    <row r="4" spans="1:26" x14ac:dyDescent="0.25">
      <c r="A4" t="s">
        <v>90</v>
      </c>
      <c r="B4" t="s">
        <v>41</v>
      </c>
      <c r="C4" t="s">
        <v>91</v>
      </c>
      <c r="D4" t="s">
        <v>24</v>
      </c>
      <c r="G4" t="s">
        <v>91</v>
      </c>
      <c r="H4" s="1">
        <v>441</v>
      </c>
      <c r="I4" s="1">
        <v>75200</v>
      </c>
      <c r="J4" s="1">
        <v>5029</v>
      </c>
      <c r="K4" s="1">
        <v>6</v>
      </c>
      <c r="L4" s="1" t="s">
        <v>145</v>
      </c>
      <c r="M4" s="1" t="s">
        <v>189</v>
      </c>
      <c r="N4" s="1" t="s">
        <v>327</v>
      </c>
      <c r="O4" s="1" t="s">
        <v>68</v>
      </c>
      <c r="P4" s="1" t="s">
        <v>269</v>
      </c>
      <c r="Q4" s="1" t="s">
        <v>267</v>
      </c>
      <c r="R4" s="1"/>
      <c r="S4" s="1" t="s">
        <v>259</v>
      </c>
      <c r="T4" s="1" t="s">
        <v>260</v>
      </c>
      <c r="U4" s="1"/>
      <c r="V4" s="1" t="s">
        <v>285</v>
      </c>
      <c r="W4" s="1">
        <v>14</v>
      </c>
      <c r="X4" s="1" t="s">
        <v>109</v>
      </c>
      <c r="Y4" s="1" t="s">
        <v>116</v>
      </c>
      <c r="Z4" s="1"/>
    </row>
    <row r="5" spans="1:26" x14ac:dyDescent="0.25">
      <c r="A5" t="s">
        <v>92</v>
      </c>
      <c r="B5" t="s">
        <v>53</v>
      </c>
      <c r="C5" t="s">
        <v>35</v>
      </c>
      <c r="D5" t="s">
        <v>14</v>
      </c>
      <c r="E5" t="s">
        <v>11</v>
      </c>
      <c r="G5" t="s">
        <v>27</v>
      </c>
      <c r="H5" s="1">
        <v>666</v>
      </c>
      <c r="I5" s="1">
        <v>71300</v>
      </c>
      <c r="J5" s="1">
        <v>8978</v>
      </c>
      <c r="K5" s="1">
        <v>12</v>
      </c>
      <c r="L5" s="1" t="s">
        <v>122</v>
      </c>
      <c r="M5" s="1" t="s">
        <v>132</v>
      </c>
      <c r="N5" s="1" t="s">
        <v>236</v>
      </c>
      <c r="O5" s="1" t="s">
        <v>228</v>
      </c>
      <c r="P5" s="1" t="s">
        <v>235</v>
      </c>
      <c r="Q5" s="1"/>
      <c r="R5" s="1"/>
      <c r="S5" s="1" t="s">
        <v>262</v>
      </c>
      <c r="T5" s="1" t="s">
        <v>261</v>
      </c>
      <c r="U5" s="1"/>
      <c r="V5" s="1" t="s">
        <v>314</v>
      </c>
      <c r="W5" s="1">
        <v>19</v>
      </c>
      <c r="X5" s="1" t="s">
        <v>111</v>
      </c>
      <c r="Y5" s="1" t="s">
        <v>115</v>
      </c>
      <c r="Z5" s="1" t="s">
        <v>406</v>
      </c>
    </row>
    <row r="6" spans="1:26" x14ac:dyDescent="0.25">
      <c r="A6" t="s">
        <v>93</v>
      </c>
      <c r="B6" t="s">
        <v>400</v>
      </c>
      <c r="C6" t="s">
        <v>91</v>
      </c>
      <c r="D6" t="s">
        <v>24</v>
      </c>
      <c r="G6" t="s">
        <v>91</v>
      </c>
      <c r="H6" s="1">
        <v>927</v>
      </c>
      <c r="I6" s="1">
        <v>127800</v>
      </c>
      <c r="J6" s="1">
        <v>11529</v>
      </c>
      <c r="K6" s="1">
        <v>18</v>
      </c>
      <c r="L6" s="1" t="s">
        <v>179</v>
      </c>
      <c r="M6" s="1" t="s">
        <v>182</v>
      </c>
      <c r="N6" s="1" t="s">
        <v>327</v>
      </c>
      <c r="O6" s="1" t="s">
        <v>246</v>
      </c>
      <c r="P6" s="1" t="s">
        <v>231</v>
      </c>
      <c r="Q6" s="1" t="s">
        <v>241</v>
      </c>
      <c r="R6" s="1"/>
      <c r="S6" s="1" t="s">
        <v>266</v>
      </c>
      <c r="T6" s="1" t="s">
        <v>255</v>
      </c>
      <c r="U6" s="1"/>
      <c r="V6" s="1" t="s">
        <v>280</v>
      </c>
      <c r="W6" s="1">
        <v>8</v>
      </c>
      <c r="X6" s="1" t="s">
        <v>112</v>
      </c>
      <c r="Y6" s="1" t="s">
        <v>115</v>
      </c>
      <c r="Z6" s="1" t="s">
        <v>404</v>
      </c>
    </row>
    <row r="7" spans="1:26" x14ac:dyDescent="0.25">
      <c r="A7" t="s">
        <v>94</v>
      </c>
      <c r="B7" t="s">
        <v>48</v>
      </c>
      <c r="C7" t="s">
        <v>66</v>
      </c>
      <c r="D7" t="s">
        <v>14</v>
      </c>
      <c r="E7" t="s">
        <v>19</v>
      </c>
      <c r="G7" t="s">
        <v>31</v>
      </c>
      <c r="H7" s="1">
        <v>636</v>
      </c>
      <c r="I7" s="1">
        <v>87600</v>
      </c>
      <c r="J7" s="1">
        <v>10172</v>
      </c>
      <c r="K7" s="1">
        <v>14</v>
      </c>
      <c r="L7" s="1" t="s">
        <v>165</v>
      </c>
      <c r="M7" s="1" t="s">
        <v>177</v>
      </c>
      <c r="N7" s="1" t="s">
        <v>66</v>
      </c>
      <c r="O7" s="1" t="s">
        <v>328</v>
      </c>
      <c r="P7" s="1" t="s">
        <v>248</v>
      </c>
      <c r="Q7" s="1" t="s">
        <v>251</v>
      </c>
      <c r="R7" s="1"/>
      <c r="S7" s="1" t="s">
        <v>255</v>
      </c>
      <c r="T7" s="1" t="s">
        <v>259</v>
      </c>
      <c r="U7" s="1"/>
      <c r="V7" s="1" t="s">
        <v>281</v>
      </c>
      <c r="W7" s="1">
        <v>13</v>
      </c>
      <c r="X7" s="1" t="s">
        <v>391</v>
      </c>
      <c r="Y7" s="1" t="s">
        <v>115</v>
      </c>
      <c r="Z7" s="1"/>
    </row>
    <row r="8" spans="1:26" x14ac:dyDescent="0.25">
      <c r="A8" t="s">
        <v>95</v>
      </c>
      <c r="B8" t="s">
        <v>401</v>
      </c>
      <c r="C8" t="s">
        <v>35</v>
      </c>
      <c r="D8" t="s">
        <v>16</v>
      </c>
      <c r="E8" t="s">
        <v>10</v>
      </c>
      <c r="F8" t="s">
        <v>18</v>
      </c>
      <c r="G8" t="s">
        <v>29</v>
      </c>
      <c r="H8" s="1">
        <v>0</v>
      </c>
      <c r="I8" s="1">
        <v>0</v>
      </c>
      <c r="J8" s="1">
        <v>2000</v>
      </c>
      <c r="K8" s="1">
        <v>4</v>
      </c>
      <c r="L8" s="1" t="s">
        <v>124</v>
      </c>
      <c r="M8" s="1" t="s">
        <v>131</v>
      </c>
      <c r="N8" s="1" t="s">
        <v>232</v>
      </c>
      <c r="O8" s="1" t="s">
        <v>231</v>
      </c>
      <c r="P8" s="1"/>
      <c r="Q8" s="1"/>
      <c r="R8" s="1"/>
      <c r="S8" s="1" t="s">
        <v>259</v>
      </c>
      <c r="T8" s="1"/>
      <c r="U8" s="1"/>
      <c r="V8" s="1" t="s">
        <v>280</v>
      </c>
      <c r="W8" s="1">
        <v>8</v>
      </c>
      <c r="X8" s="1" t="s">
        <v>110</v>
      </c>
      <c r="Y8" s="1" t="s">
        <v>116</v>
      </c>
      <c r="Z8" s="1"/>
    </row>
    <row r="9" spans="1:26" x14ac:dyDescent="0.25">
      <c r="A9" t="s">
        <v>96</v>
      </c>
      <c r="B9" t="s">
        <v>46</v>
      </c>
      <c r="C9" t="s">
        <v>59</v>
      </c>
      <c r="D9" t="s">
        <v>16</v>
      </c>
      <c r="E9" t="s">
        <v>11</v>
      </c>
      <c r="G9" t="s">
        <v>31</v>
      </c>
      <c r="H9" s="1">
        <v>548</v>
      </c>
      <c r="I9" s="1">
        <v>59700</v>
      </c>
      <c r="J9" s="1">
        <v>5052</v>
      </c>
      <c r="K9" s="1">
        <v>8</v>
      </c>
      <c r="L9" s="1" t="s">
        <v>162</v>
      </c>
      <c r="M9" s="1" t="s">
        <v>163</v>
      </c>
      <c r="N9" s="1" t="s">
        <v>252</v>
      </c>
      <c r="O9" s="1" t="s">
        <v>246</v>
      </c>
      <c r="P9" s="1" t="s">
        <v>251</v>
      </c>
      <c r="Q9" s="1"/>
      <c r="R9" s="1"/>
      <c r="S9" s="1" t="s">
        <v>266</v>
      </c>
      <c r="T9" s="1" t="s">
        <v>258</v>
      </c>
      <c r="U9" s="1"/>
      <c r="V9" s="1" t="s">
        <v>317</v>
      </c>
      <c r="W9" s="1">
        <v>11</v>
      </c>
      <c r="X9" s="1" t="s">
        <v>110</v>
      </c>
      <c r="Y9" s="1" t="s">
        <v>115</v>
      </c>
      <c r="Z9" s="1" t="s">
        <v>407</v>
      </c>
    </row>
    <row r="10" spans="1:26" x14ac:dyDescent="0.25">
      <c r="A10" t="s">
        <v>97</v>
      </c>
      <c r="B10" t="s">
        <v>43</v>
      </c>
      <c r="C10" t="s">
        <v>35</v>
      </c>
      <c r="D10" t="s">
        <v>20</v>
      </c>
      <c r="E10" t="s">
        <v>11</v>
      </c>
      <c r="G10" t="s">
        <v>27</v>
      </c>
      <c r="H10" s="1">
        <v>377</v>
      </c>
      <c r="I10" s="1">
        <v>56900</v>
      </c>
      <c r="J10" s="1">
        <v>5474</v>
      </c>
      <c r="K10" s="1">
        <v>10</v>
      </c>
      <c r="L10" s="1" t="s">
        <v>143</v>
      </c>
      <c r="M10" s="1" t="s">
        <v>157</v>
      </c>
      <c r="N10" s="1" t="s">
        <v>273</v>
      </c>
      <c r="O10" s="1" t="s">
        <v>240</v>
      </c>
      <c r="P10" s="1" t="s">
        <v>249</v>
      </c>
      <c r="Q10" s="1"/>
      <c r="R10" s="1"/>
      <c r="S10" s="1" t="s">
        <v>256</v>
      </c>
      <c r="T10" s="1" t="s">
        <v>266</v>
      </c>
      <c r="U10" s="1"/>
      <c r="V10" s="1" t="s">
        <v>280</v>
      </c>
      <c r="W10" s="1">
        <v>8</v>
      </c>
      <c r="X10" s="1" t="s">
        <v>390</v>
      </c>
      <c r="Y10" s="1" t="s">
        <v>115</v>
      </c>
      <c r="Z10" s="1"/>
    </row>
    <row r="11" spans="1:26" x14ac:dyDescent="0.25">
      <c r="A11" t="s">
        <v>98</v>
      </c>
      <c r="B11" t="s">
        <v>400</v>
      </c>
      <c r="C11" t="s">
        <v>35</v>
      </c>
      <c r="D11" t="s">
        <v>10</v>
      </c>
      <c r="E11" t="s">
        <v>14</v>
      </c>
      <c r="F11" t="s">
        <v>14</v>
      </c>
      <c r="G11" t="s">
        <v>27</v>
      </c>
      <c r="H11" s="1">
        <v>929</v>
      </c>
      <c r="I11" s="1">
        <v>179700</v>
      </c>
      <c r="J11" s="1">
        <v>10989</v>
      </c>
      <c r="K11" s="1">
        <v>16</v>
      </c>
      <c r="L11" s="1" t="s">
        <v>124</v>
      </c>
      <c r="M11" s="1" t="s">
        <v>118</v>
      </c>
      <c r="N11" s="1"/>
      <c r="O11" s="1" t="s">
        <v>228</v>
      </c>
      <c r="P11" s="1" t="s">
        <v>244</v>
      </c>
      <c r="Q11" s="1"/>
      <c r="R11" s="1"/>
      <c r="S11" s="1" t="s">
        <v>257</v>
      </c>
      <c r="T11" s="1"/>
      <c r="U11" s="1"/>
      <c r="V11" s="1" t="s">
        <v>284</v>
      </c>
      <c r="W11" s="1">
        <v>10</v>
      </c>
      <c r="X11" s="1" t="s">
        <v>388</v>
      </c>
      <c r="Y11" s="1" t="s">
        <v>115</v>
      </c>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8:26" x14ac:dyDescent="0.25">
      <c r="H17" s="1"/>
      <c r="I17" s="1"/>
      <c r="J17" s="1"/>
      <c r="K17" s="1"/>
      <c r="L17" s="1"/>
      <c r="M17" s="1"/>
      <c r="N17" s="1"/>
      <c r="O17" s="1"/>
      <c r="P17" s="1"/>
      <c r="Q17" s="1"/>
      <c r="R17" s="1"/>
      <c r="S17" s="1"/>
      <c r="T17" s="1"/>
      <c r="U17" s="1"/>
      <c r="V17" s="1"/>
      <c r="W17" s="1"/>
      <c r="X17" s="1"/>
      <c r="Y17" s="1"/>
      <c r="Z17" s="1"/>
    </row>
    <row r="18" spans="8:26" x14ac:dyDescent="0.25">
      <c r="H18" s="1"/>
      <c r="I18" s="1"/>
      <c r="J18" s="1"/>
      <c r="K18" s="1"/>
      <c r="L18" s="1"/>
      <c r="M18" s="1"/>
      <c r="N18" s="1"/>
      <c r="O18" s="1"/>
      <c r="P18" s="1"/>
      <c r="Q18" s="1"/>
      <c r="R18" s="1"/>
      <c r="S18" s="1"/>
      <c r="T18" s="1"/>
      <c r="U18" s="1"/>
      <c r="V18" s="1"/>
      <c r="W18" s="1"/>
      <c r="X18" s="1"/>
      <c r="Y18" s="1"/>
      <c r="Z18" s="1"/>
    </row>
    <row r="19" spans="8:26" x14ac:dyDescent="0.25">
      <c r="H19" s="1"/>
      <c r="I19" s="1"/>
      <c r="J19" s="1"/>
      <c r="K19" s="1"/>
      <c r="L19" s="1"/>
      <c r="M19" s="1"/>
      <c r="N19" s="1"/>
      <c r="O19" s="1"/>
      <c r="P19" s="1"/>
      <c r="Q19" s="1"/>
      <c r="R19" s="1"/>
      <c r="S19" s="1"/>
      <c r="T19" s="1"/>
      <c r="U19" s="1"/>
      <c r="V19" s="1"/>
      <c r="W19" s="1"/>
      <c r="X19" s="1"/>
      <c r="Y19" s="1"/>
      <c r="Z19" s="1"/>
    </row>
    <row r="20" spans="8:26" x14ac:dyDescent="0.25">
      <c r="H20" s="1"/>
      <c r="I20" s="1"/>
      <c r="J20" s="1"/>
      <c r="K20" s="1"/>
      <c r="L20" s="1"/>
      <c r="M20" s="1"/>
      <c r="N20" s="1"/>
      <c r="O20" s="1"/>
      <c r="P20" s="1"/>
      <c r="Q20" s="1"/>
      <c r="R20" s="1"/>
      <c r="S20" s="1"/>
      <c r="T20" s="1"/>
      <c r="U20" s="1"/>
      <c r="V20" s="1"/>
      <c r="W20" s="1"/>
      <c r="X20" s="1"/>
      <c r="Y20" s="1"/>
      <c r="Z20" s="1"/>
    </row>
    <row r="21" spans="8:26" x14ac:dyDescent="0.25">
      <c r="H21" s="1"/>
      <c r="I21" s="1"/>
      <c r="J21" s="1"/>
      <c r="K21" s="1"/>
      <c r="L21" s="1"/>
      <c r="M21" s="1"/>
      <c r="N21" s="1"/>
      <c r="O21" s="1"/>
      <c r="P21" s="1"/>
      <c r="Q21" s="1"/>
      <c r="R21" s="1"/>
      <c r="S21" s="1"/>
      <c r="T21" s="1"/>
      <c r="U21" s="1"/>
      <c r="V21" s="1"/>
      <c r="W21" s="1"/>
      <c r="X21" s="1"/>
      <c r="Y21" s="1"/>
      <c r="Z21" s="1"/>
    </row>
    <row r="22" spans="8:26" x14ac:dyDescent="0.25">
      <c r="H22" s="1"/>
      <c r="I22" s="1"/>
      <c r="J22" s="1"/>
      <c r="K22" s="1"/>
      <c r="L22" s="1"/>
      <c r="M22" s="1"/>
      <c r="N22" s="1"/>
      <c r="O22" s="1"/>
      <c r="P22" s="1"/>
      <c r="Q22" s="1"/>
      <c r="R22" s="1"/>
      <c r="S22" s="1"/>
      <c r="T22" s="1"/>
      <c r="U22" s="1"/>
      <c r="V22" s="1"/>
      <c r="W22" s="1"/>
      <c r="X22" s="1"/>
      <c r="Y22" s="1"/>
      <c r="Z22" s="1"/>
    </row>
    <row r="23" spans="8:26" x14ac:dyDescent="0.25">
      <c r="H23" s="1"/>
      <c r="I23" s="1"/>
      <c r="J23" s="1"/>
      <c r="K23" s="1"/>
      <c r="L23" s="1"/>
      <c r="M23" s="1"/>
      <c r="N23" s="1"/>
      <c r="O23" s="1"/>
      <c r="P23" s="1"/>
      <c r="Q23" s="1"/>
      <c r="R23" s="1"/>
      <c r="S23" s="1"/>
      <c r="T23" s="1"/>
      <c r="U23" s="1"/>
      <c r="V23" s="1"/>
      <c r="W23" s="1"/>
      <c r="X23" s="1"/>
      <c r="Y23" s="1"/>
      <c r="Z23" s="1"/>
    </row>
    <row r="24" spans="8:26" x14ac:dyDescent="0.25">
      <c r="H24" s="1"/>
      <c r="I24" s="1"/>
      <c r="J24" s="1"/>
      <c r="K24" s="1"/>
      <c r="L24" s="1"/>
      <c r="M24" s="1"/>
      <c r="N24" s="1"/>
      <c r="O24" s="1"/>
      <c r="P24" s="1"/>
      <c r="Q24" s="1"/>
      <c r="R24" s="1"/>
      <c r="S24" s="1"/>
      <c r="T24" s="1"/>
      <c r="U24" s="1"/>
      <c r="V24" s="1"/>
      <c r="W24" s="1"/>
      <c r="X24" s="1"/>
      <c r="Y24" s="1"/>
      <c r="Z24" s="1"/>
    </row>
    <row r="25" spans="8:26" x14ac:dyDescent="0.25">
      <c r="H25" s="1"/>
      <c r="I25" s="1"/>
      <c r="J25" s="1"/>
      <c r="K25" s="1"/>
      <c r="L25" s="1"/>
      <c r="M25" s="1"/>
      <c r="N25" s="1"/>
      <c r="O25" s="1"/>
      <c r="P25" s="1"/>
      <c r="Q25" s="1"/>
      <c r="R25" s="1"/>
      <c r="S25" s="1"/>
      <c r="T25" s="1"/>
      <c r="U25" s="1"/>
      <c r="V25" s="1"/>
      <c r="W25" s="1"/>
      <c r="X25" s="1"/>
      <c r="Y25" s="1"/>
      <c r="Z25" s="1"/>
    </row>
    <row r="26" spans="8:26" x14ac:dyDescent="0.25">
      <c r="H26" s="1"/>
      <c r="I26" s="1"/>
      <c r="J26" s="1"/>
      <c r="K26" s="1"/>
      <c r="L26" s="1"/>
      <c r="M26" s="1"/>
      <c r="N26" s="1"/>
      <c r="O26" s="1"/>
      <c r="P26" s="1"/>
      <c r="Q26" s="1"/>
      <c r="R26" s="1"/>
      <c r="S26" s="1"/>
      <c r="T26" s="1"/>
      <c r="U26" s="1"/>
      <c r="V26" s="1"/>
      <c r="W26" s="1"/>
      <c r="X26" s="1"/>
      <c r="Y26" s="1"/>
      <c r="Z26" s="1"/>
    </row>
    <row r="27" spans="8:26" x14ac:dyDescent="0.25">
      <c r="H27" s="1"/>
      <c r="I27" s="1"/>
      <c r="J27" s="1"/>
      <c r="K27" s="1"/>
      <c r="L27" s="1"/>
      <c r="M27" s="1"/>
      <c r="N27" s="1"/>
      <c r="O27" s="1"/>
      <c r="P27" s="1"/>
      <c r="Q27" s="1"/>
      <c r="R27" s="1"/>
      <c r="S27" s="1"/>
      <c r="T27" s="1"/>
      <c r="U27" s="1"/>
      <c r="V27" s="1"/>
      <c r="W27" s="1"/>
      <c r="X27" s="1"/>
      <c r="Y27" s="1"/>
      <c r="Z27" s="1"/>
    </row>
    <row r="28" spans="8:26" x14ac:dyDescent="0.25">
      <c r="H28" s="1"/>
      <c r="I28" s="1"/>
      <c r="J28" s="1"/>
      <c r="K28" s="1"/>
      <c r="L28" s="1"/>
      <c r="M28" s="1"/>
      <c r="N28" s="1"/>
      <c r="O28" s="1"/>
      <c r="P28" s="1"/>
      <c r="Q28" s="1"/>
      <c r="R28" s="1"/>
      <c r="S28" s="1"/>
      <c r="T28" s="1"/>
      <c r="U28" s="1"/>
      <c r="V28" s="1"/>
      <c r="W28" s="1"/>
      <c r="X28" s="1"/>
      <c r="Y28" s="1"/>
      <c r="Z28" s="1"/>
    </row>
    <row r="29" spans="8:26" x14ac:dyDescent="0.25">
      <c r="H29" s="1"/>
      <c r="I29" s="1"/>
      <c r="J29" s="1"/>
      <c r="K29" s="1"/>
      <c r="L29" s="1"/>
      <c r="M29" s="1"/>
      <c r="N29" s="1"/>
      <c r="O29" s="1"/>
      <c r="P29" s="1"/>
      <c r="Q29" s="1"/>
      <c r="R29" s="1"/>
      <c r="S29" s="1"/>
      <c r="T29" s="1"/>
      <c r="U29" s="1"/>
      <c r="V29" s="1"/>
      <c r="W29" s="1"/>
      <c r="X29" s="1"/>
      <c r="Y29" s="1"/>
      <c r="Z29" s="1"/>
    </row>
    <row r="30" spans="8:26" x14ac:dyDescent="0.25">
      <c r="H30" s="1"/>
      <c r="I30" s="1"/>
      <c r="J30" s="1"/>
      <c r="K30" s="1"/>
      <c r="L30" s="1"/>
      <c r="M30" s="1"/>
      <c r="N30" s="1"/>
      <c r="O30" s="1"/>
      <c r="P30" s="1"/>
      <c r="Q30" s="1"/>
      <c r="R30" s="1"/>
      <c r="S30" s="1"/>
      <c r="T30" s="1"/>
      <c r="U30" s="1"/>
      <c r="V30" s="1"/>
      <c r="W30" s="1"/>
      <c r="X30" s="1"/>
      <c r="Y30" s="1"/>
      <c r="Z30" s="1"/>
    </row>
    <row r="31" spans="8:26" x14ac:dyDescent="0.25">
      <c r="H31" s="1"/>
      <c r="I31" s="1"/>
      <c r="J31" s="1"/>
      <c r="K31" s="1"/>
      <c r="L31" s="1"/>
      <c r="M31" s="1"/>
      <c r="N31" s="1"/>
      <c r="O31" s="1"/>
      <c r="P31" s="1"/>
      <c r="Q31" s="1"/>
      <c r="R31" s="1"/>
      <c r="S31" s="1"/>
      <c r="T31" s="1"/>
      <c r="U31" s="1"/>
      <c r="V31" s="1"/>
      <c r="W31" s="1"/>
      <c r="X31" s="1"/>
      <c r="Y31" s="1"/>
      <c r="Z31" s="1"/>
    </row>
  </sheetData>
  <phoneticPr fontId="1" type="noConversion"/>
  <conditionalFormatting sqref="K2:K11 K13:K31">
    <cfRule type="colorScale" priority="4">
      <colorScale>
        <cfvo type="min"/>
        <cfvo type="percentile" val="50"/>
        <cfvo type="max"/>
        <color rgb="FFF8696B"/>
        <color rgb="FFFFEB84"/>
        <color rgb="FF63BE7B"/>
      </colorScale>
    </cfRule>
  </conditionalFormatting>
  <conditionalFormatting sqref="J2:J11 J13:J31">
    <cfRule type="colorScale" priority="3">
      <colorScale>
        <cfvo type="min"/>
        <cfvo type="percentile" val="50"/>
        <cfvo type="max"/>
        <color rgb="FFF8696B"/>
        <color rgb="FFFFEB84"/>
        <color rgb="FF63BE7B"/>
      </colorScale>
    </cfRule>
  </conditionalFormatting>
  <conditionalFormatting sqref="I2:I11 I13:I31">
    <cfRule type="colorScale" priority="2">
      <colorScale>
        <cfvo type="min"/>
        <cfvo type="percentile" val="50"/>
        <cfvo type="max"/>
        <color rgb="FFF8696B"/>
        <color rgb="FFFFEB84"/>
        <color rgb="FF63BE7B"/>
      </colorScale>
    </cfRule>
  </conditionalFormatting>
  <conditionalFormatting sqref="H2:H11 H13:H31">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12">
        <x14:dataValidation type="list" allowBlank="1" showInputMessage="1" showErrorMessage="1" xr:uid="{1FBAEE26-C924-4893-9264-2DEE09F0B2D0}">
          <x14:formula1>
            <xm:f>Contents!$F$2:$F$14</xm:f>
          </x14:formula1>
          <xm:sqref>C2:C31</xm:sqref>
        </x14:dataValidation>
        <x14:dataValidation type="list" allowBlank="1" showInputMessage="1" showErrorMessage="1" xr:uid="{E10317B3-CDCC-4D6A-BF6C-14EB82125E5F}">
          <x14:formula1>
            <xm:f>Contents!$D$2:$D$28</xm:f>
          </x14:formula1>
          <xm:sqref>B2:B31</xm:sqref>
        </x14:dataValidation>
        <x14:dataValidation type="list" allowBlank="1" showInputMessage="1" showErrorMessage="1" xr:uid="{83805E71-CEFF-4E95-ACE1-AE286AFE8ABB}">
          <x14:formula1>
            <xm:f>Contents!$C$2:$C$8</xm:f>
          </x14:formula1>
          <xm:sqref>G2:G31</xm:sqref>
        </x14:dataValidation>
        <x14:dataValidation type="list" allowBlank="1" showInputMessage="1" showErrorMessage="1" xr:uid="{FC494302-7493-4111-AE80-C9DDE8A0A0EC}">
          <x14:formula1>
            <xm:f>Contents!$A$2:$A$18</xm:f>
          </x14:formula1>
          <xm:sqref>D2:F31</xm:sqref>
        </x14:dataValidation>
        <x14:dataValidation type="list" allowBlank="1" showInputMessage="1" showErrorMessage="1" xr:uid="{FD5FB5A3-EDAC-4FAD-BEAA-3BD161128421}">
          <x14:formula1>
            <xm:f>Contents!$J$2:$J$88</xm:f>
          </x14:formula1>
          <xm:sqref>L2:M31</xm:sqref>
        </x14:dataValidation>
        <x14:dataValidation type="list" allowBlank="1" showInputMessage="1" showErrorMessage="1" xr:uid="{21E34272-4F94-4784-984B-91DB6CF17191}">
          <x14:formula1>
            <xm:f>Contents!$G$2:$G$9</xm:f>
          </x14:formula1>
          <xm:sqref>X2:X31</xm:sqref>
        </x14:dataValidation>
        <x14:dataValidation type="list" allowBlank="1" showInputMessage="1" showErrorMessage="1" xr:uid="{B4ECF67E-BFC1-478A-A602-868079630BC5}">
          <x14:formula1>
            <xm:f>Contents!$I$2:$I$4</xm:f>
          </x14:formula1>
          <xm:sqref>Y2:Y31</xm:sqref>
        </x14:dataValidation>
        <x14:dataValidation type="list" allowBlank="1" showInputMessage="1" showErrorMessage="1" xr:uid="{418825CA-65F6-4FBE-8B6B-C0AB3A8665EF}">
          <x14:formula1>
            <xm:f>Contents!$L$2:$L$21</xm:f>
          </x14:formula1>
          <xm:sqref>S2:U31</xm:sqref>
        </x14:dataValidation>
        <x14:dataValidation type="list" allowBlank="1" showInputMessage="1" showErrorMessage="1" xr:uid="{E1FF0011-30F1-45C5-B985-563C36FC9D06}">
          <x14:formula1>
            <xm:f>Contents!$K$2:$K$59</xm:f>
          </x14:formula1>
          <xm:sqref>N2:R7 N9:R31 R8 N8:O8</xm:sqref>
        </x14:dataValidation>
        <x14:dataValidation type="list" allowBlank="1" showInputMessage="1" showErrorMessage="1" xr:uid="{20AABCCA-EC32-4F45-8EDF-6313B9C6EA34}">
          <x14:formula1>
            <xm:f>Contents!$M$2:$M$17</xm:f>
          </x14:formula1>
          <xm:sqref>V2:V31</xm:sqref>
        </x14:dataValidation>
        <x14:dataValidation type="list" allowBlank="1" showInputMessage="1" showErrorMessage="1" xr:uid="{F79F3B18-70A1-4FBA-BC50-FA0D4886A18D}">
          <x14:formula1>
            <xm:f>Contents!$H$2:$H$22</xm:f>
          </x14:formula1>
          <xm:sqref>W2:W31</xm:sqref>
        </x14:dataValidation>
        <x14:dataValidation type="list" allowBlank="1" showInputMessage="1" showErrorMessage="1" xr:uid="{0876E687-E646-429F-8683-33DD0232AB8C}">
          <x14:formula1>
            <xm:f>Contents!$N$2:$N$5</xm:f>
          </x14:formula1>
          <xm:sqref>Z2:Z31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C21E5-8464-44B3-B3FA-F72012F3FCE7}">
  <sheetPr codeName="Sheet5">
    <tabColor theme="9"/>
  </sheetPr>
  <dimension ref="A1:Z32"/>
  <sheetViews>
    <sheetView topLeftCell="N1" workbookViewId="0">
      <selection activeCell="Z1" sqref="Z1"/>
    </sheetView>
  </sheetViews>
  <sheetFormatPr defaultRowHeight="15" x14ac:dyDescent="0.25"/>
  <cols>
    <col min="1" max="1" width="29.85546875" bestFit="1" customWidth="1"/>
    <col min="2" max="3" width="19.85546875" bestFit="1" customWidth="1"/>
    <col min="4" max="4" width="18.5703125" bestFit="1" customWidth="1"/>
    <col min="5" max="5" width="13.5703125" bestFit="1" customWidth="1"/>
    <col min="7" max="7" width="11.140625" bestFit="1" customWidth="1"/>
    <col min="12" max="12" width="21.28515625" bestFit="1" customWidth="1"/>
    <col min="13" max="13" width="18.7109375" bestFit="1" customWidth="1"/>
    <col min="14" max="18" width="15.7109375" bestFit="1" customWidth="1"/>
    <col min="19" max="21" width="14.42578125" bestFit="1" customWidth="1"/>
    <col min="22" max="22" width="20.42578125" bestFit="1" customWidth="1"/>
    <col min="23" max="23" width="22.140625" bestFit="1" customWidth="1"/>
    <col min="24" max="24" width="17.5703125" bestFit="1" customWidth="1"/>
    <col min="25" max="25" width="15.710937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325</v>
      </c>
      <c r="V1" s="1" t="s">
        <v>276</v>
      </c>
      <c r="W1" s="1" t="s">
        <v>106</v>
      </c>
      <c r="X1" s="1" t="s">
        <v>107</v>
      </c>
      <c r="Y1" s="1" t="s">
        <v>108</v>
      </c>
      <c r="Z1" s="1" t="s">
        <v>421</v>
      </c>
    </row>
    <row r="2" spans="1:26" x14ac:dyDescent="0.25">
      <c r="H2" s="1"/>
      <c r="I2" s="1"/>
      <c r="J2" s="1"/>
      <c r="K2" s="1"/>
      <c r="L2" s="1"/>
      <c r="M2" s="1"/>
      <c r="N2" s="1"/>
      <c r="O2" s="1"/>
      <c r="P2" s="1"/>
      <c r="Q2" s="1"/>
      <c r="R2" s="1"/>
      <c r="S2" s="1"/>
      <c r="T2" s="1"/>
      <c r="U2" s="1"/>
      <c r="V2" s="1"/>
      <c r="W2" s="1"/>
      <c r="X2" s="1"/>
      <c r="Y2" s="1"/>
      <c r="Z2" s="1"/>
    </row>
    <row r="3" spans="1:26" x14ac:dyDescent="0.25">
      <c r="H3" s="1"/>
      <c r="I3" s="1"/>
      <c r="J3" s="1"/>
      <c r="K3" s="1"/>
      <c r="L3" s="1"/>
      <c r="M3" s="1"/>
      <c r="N3" s="1"/>
      <c r="O3" s="1"/>
      <c r="P3" s="1"/>
      <c r="Q3" s="1"/>
      <c r="R3" s="1"/>
      <c r="S3" s="1"/>
      <c r="T3" s="1"/>
      <c r="U3" s="1"/>
      <c r="V3" s="1"/>
      <c r="W3" s="1"/>
      <c r="X3" s="1"/>
      <c r="Y3" s="1"/>
      <c r="Z3" s="1"/>
    </row>
    <row r="4" spans="1:26" x14ac:dyDescent="0.25">
      <c r="H4" s="1"/>
      <c r="I4" s="1"/>
      <c r="J4" s="1"/>
      <c r="K4" s="1"/>
      <c r="L4" s="1"/>
      <c r="M4" s="1"/>
      <c r="N4" s="1"/>
      <c r="O4" s="1"/>
      <c r="P4" s="1"/>
      <c r="Q4" s="1"/>
      <c r="R4" s="1"/>
      <c r="S4" s="1"/>
      <c r="T4" s="1"/>
      <c r="U4" s="1"/>
      <c r="V4" s="1"/>
      <c r="W4" s="1"/>
      <c r="X4" s="1"/>
      <c r="Y4" s="1"/>
      <c r="Z4" s="1"/>
    </row>
    <row r="5" spans="1:26" x14ac:dyDescent="0.25">
      <c r="H5" s="1"/>
      <c r="I5" s="1"/>
      <c r="J5" s="1"/>
      <c r="K5" s="1"/>
      <c r="L5" s="1"/>
      <c r="M5" s="1"/>
      <c r="N5" s="1"/>
      <c r="O5" s="1"/>
      <c r="P5" s="1"/>
      <c r="Q5" s="1"/>
      <c r="R5" s="1"/>
      <c r="S5" s="1"/>
      <c r="T5" s="1"/>
      <c r="U5" s="1"/>
      <c r="V5" s="1"/>
      <c r="W5" s="1"/>
      <c r="X5" s="1"/>
      <c r="Y5" s="1"/>
      <c r="Z5" s="1"/>
    </row>
    <row r="6" spans="1:26" x14ac:dyDescent="0.25">
      <c r="H6" s="1"/>
      <c r="I6" s="1"/>
      <c r="J6" s="1"/>
      <c r="K6" s="1"/>
      <c r="L6" s="1"/>
      <c r="M6" s="1"/>
      <c r="N6" s="1"/>
      <c r="O6" s="1"/>
      <c r="P6" s="1"/>
      <c r="Q6" s="1"/>
      <c r="R6" s="1"/>
      <c r="S6" s="1"/>
      <c r="T6" s="1"/>
      <c r="U6" s="1"/>
      <c r="V6" s="1"/>
      <c r="W6" s="1"/>
      <c r="X6" s="1"/>
      <c r="Y6" s="1"/>
      <c r="Z6" s="1"/>
    </row>
    <row r="7" spans="1:26" x14ac:dyDescent="0.25">
      <c r="H7" s="1"/>
      <c r="I7" s="1"/>
      <c r="J7" s="1"/>
      <c r="K7" s="1"/>
      <c r="L7" s="1"/>
      <c r="M7" s="1"/>
      <c r="N7" s="1"/>
      <c r="O7" s="1"/>
      <c r="P7" s="1"/>
      <c r="Q7" s="1"/>
      <c r="R7" s="1"/>
      <c r="S7" s="1"/>
      <c r="T7" s="1"/>
      <c r="U7" s="1"/>
      <c r="V7" s="1"/>
      <c r="W7" s="1"/>
      <c r="X7" s="1"/>
      <c r="Y7" s="1"/>
      <c r="Z7" s="1"/>
    </row>
    <row r="8" spans="1:26" x14ac:dyDescent="0.25">
      <c r="H8" s="1"/>
      <c r="I8" s="1"/>
      <c r="J8" s="1"/>
      <c r="K8" s="1"/>
      <c r="L8" s="1"/>
      <c r="M8" s="1"/>
      <c r="N8" s="1"/>
      <c r="O8" s="1"/>
      <c r="P8" s="1"/>
      <c r="Q8" s="1"/>
      <c r="R8" s="1"/>
      <c r="S8" s="1"/>
      <c r="T8" s="1"/>
      <c r="U8" s="1"/>
      <c r="V8" s="1"/>
      <c r="W8" s="1"/>
      <c r="X8" s="1"/>
      <c r="Y8" s="1"/>
      <c r="Z8" s="1"/>
    </row>
    <row r="9" spans="1:26" x14ac:dyDescent="0.25">
      <c r="H9" s="1"/>
      <c r="I9" s="1"/>
      <c r="J9" s="1"/>
      <c r="K9" s="1"/>
      <c r="L9" s="1"/>
      <c r="M9" s="1"/>
      <c r="N9" s="1"/>
      <c r="O9" s="1"/>
      <c r="P9" s="1"/>
      <c r="Q9" s="1"/>
      <c r="R9" s="1"/>
      <c r="S9" s="1"/>
      <c r="T9" s="1"/>
      <c r="U9" s="1"/>
      <c r="V9" s="1"/>
      <c r="W9" s="1"/>
      <c r="X9" s="1"/>
      <c r="Y9" s="1"/>
      <c r="Z9" s="1"/>
    </row>
    <row r="10" spans="1:26" x14ac:dyDescent="0.25">
      <c r="H10" s="1"/>
      <c r="I10" s="1"/>
      <c r="J10" s="1"/>
      <c r="K10" s="1"/>
      <c r="L10" s="1"/>
      <c r="M10" s="1"/>
      <c r="N10" s="1"/>
      <c r="O10" s="1"/>
      <c r="P10" s="1"/>
      <c r="Q10" s="1"/>
      <c r="R10" s="1"/>
      <c r="S10" s="1"/>
      <c r="T10" s="1"/>
      <c r="U10" s="1"/>
      <c r="V10" s="1"/>
      <c r="W10" s="1"/>
      <c r="X10" s="1"/>
      <c r="Y10" s="1"/>
      <c r="Z10" s="1"/>
    </row>
    <row r="11" spans="1:26" x14ac:dyDescent="0.25">
      <c r="H11" s="1"/>
      <c r="I11" s="1"/>
      <c r="J11" s="1"/>
      <c r="K11" s="1"/>
      <c r="L11" s="1"/>
      <c r="M11" s="1"/>
      <c r="N11" s="1"/>
      <c r="O11" s="1"/>
      <c r="P11" s="1"/>
      <c r="Q11" s="1"/>
      <c r="R11" s="1"/>
      <c r="S11" s="1"/>
      <c r="T11" s="1"/>
      <c r="U11" s="1"/>
      <c r="V11" s="1"/>
      <c r="W11" s="1"/>
      <c r="X11" s="1"/>
      <c r="Y11" s="1"/>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1:26" x14ac:dyDescent="0.25">
      <c r="H17" s="1"/>
      <c r="I17" s="1"/>
      <c r="J17" s="1"/>
      <c r="K17" s="1"/>
      <c r="L17" s="1"/>
      <c r="M17" s="1"/>
      <c r="N17" s="1"/>
      <c r="O17" s="1"/>
      <c r="P17" s="1"/>
      <c r="Q17" s="1"/>
      <c r="R17" s="1"/>
      <c r="S17" s="1"/>
      <c r="T17" s="1"/>
      <c r="U17" s="1"/>
      <c r="V17" s="1"/>
      <c r="W17" s="1"/>
      <c r="X17" s="1"/>
      <c r="Y17" s="1"/>
      <c r="Z17" s="1"/>
    </row>
    <row r="18" spans="1:26" x14ac:dyDescent="0.25">
      <c r="H18" s="1"/>
      <c r="I18" s="1"/>
      <c r="J18" s="1"/>
      <c r="K18" s="1"/>
      <c r="L18" s="1"/>
      <c r="M18" s="1"/>
      <c r="N18" s="1"/>
      <c r="O18" s="1"/>
      <c r="P18" s="1"/>
      <c r="Q18" s="1"/>
      <c r="R18" s="1"/>
      <c r="S18" s="1"/>
      <c r="T18" s="1"/>
      <c r="U18" s="1"/>
      <c r="V18" s="1"/>
      <c r="W18" s="1"/>
      <c r="X18" s="1"/>
      <c r="Y18" s="1"/>
      <c r="Z18" s="1"/>
    </row>
    <row r="19" spans="1:26" x14ac:dyDescent="0.25">
      <c r="H19" s="1"/>
      <c r="I19" s="1"/>
      <c r="J19" s="1"/>
      <c r="K19" s="1"/>
      <c r="L19" s="1"/>
      <c r="M19" s="1"/>
      <c r="N19" s="1"/>
      <c r="O19" s="1"/>
      <c r="P19" s="1"/>
      <c r="Q19" s="1"/>
      <c r="R19" s="1"/>
      <c r="S19" s="1"/>
      <c r="T19" s="1"/>
      <c r="U19" s="1"/>
      <c r="V19" s="1"/>
      <c r="W19" s="1"/>
      <c r="X19" s="1"/>
      <c r="Y19" s="1"/>
      <c r="Z19" s="1"/>
    </row>
    <row r="20" spans="1:26" x14ac:dyDescent="0.25">
      <c r="H20" s="1"/>
      <c r="I20" s="1"/>
      <c r="J20" s="1"/>
      <c r="K20" s="1"/>
      <c r="L20" s="1"/>
      <c r="M20" s="1"/>
      <c r="N20" s="1"/>
      <c r="O20" s="1"/>
      <c r="P20" s="1"/>
      <c r="Q20" s="1"/>
      <c r="R20" s="1"/>
      <c r="S20" s="1"/>
      <c r="T20" s="1"/>
      <c r="U20" s="1"/>
      <c r="V20" s="1"/>
      <c r="W20" s="1"/>
      <c r="X20" s="1"/>
      <c r="Y20" s="1"/>
      <c r="Z20" s="1"/>
    </row>
    <row r="21" spans="1:26" x14ac:dyDescent="0.25">
      <c r="H21" s="1"/>
      <c r="I21" s="1"/>
      <c r="J21" s="1"/>
      <c r="K21" s="1"/>
      <c r="L21" s="1"/>
      <c r="M21" s="1"/>
      <c r="N21" s="1"/>
      <c r="O21" s="1"/>
      <c r="P21" s="1"/>
      <c r="Q21" s="1"/>
      <c r="R21" s="1"/>
      <c r="S21" s="1"/>
      <c r="T21" s="1"/>
      <c r="U21" s="1"/>
      <c r="V21" s="1"/>
      <c r="W21" s="1"/>
      <c r="X21" s="1"/>
      <c r="Y21" s="1"/>
      <c r="Z21" s="1"/>
    </row>
    <row r="22" spans="1:26" x14ac:dyDescent="0.25">
      <c r="H22" s="1"/>
      <c r="I22" s="1"/>
      <c r="J22" s="1"/>
      <c r="K22" s="1"/>
      <c r="L22" s="1"/>
      <c r="M22" s="1"/>
      <c r="N22" s="1"/>
      <c r="O22" s="1"/>
      <c r="P22" s="1"/>
      <c r="Q22" s="1"/>
      <c r="R22" s="1"/>
      <c r="S22" s="1"/>
      <c r="T22" s="1"/>
      <c r="U22" s="1"/>
      <c r="V22" s="1"/>
      <c r="W22" s="1"/>
      <c r="X22" s="1"/>
      <c r="Y22" s="1"/>
      <c r="Z22" s="1"/>
    </row>
    <row r="23" spans="1:26" x14ac:dyDescent="0.25">
      <c r="H23" s="1"/>
      <c r="I23" s="1"/>
      <c r="J23" s="1"/>
      <c r="K23" s="1"/>
      <c r="L23" s="1"/>
      <c r="M23" s="1"/>
      <c r="N23" s="1"/>
      <c r="O23" s="1"/>
      <c r="P23" s="1"/>
      <c r="Q23" s="1"/>
      <c r="R23" s="1"/>
      <c r="S23" s="1"/>
      <c r="T23" s="1"/>
      <c r="U23" s="1"/>
      <c r="V23" s="1"/>
      <c r="W23" s="1"/>
      <c r="X23" s="1"/>
      <c r="Y23" s="1"/>
      <c r="Z23" s="1"/>
    </row>
    <row r="24" spans="1:26" x14ac:dyDescent="0.25">
      <c r="H24" s="1"/>
      <c r="I24" s="1"/>
      <c r="J24" s="1"/>
      <c r="K24" s="1"/>
      <c r="L24" s="1"/>
      <c r="M24" s="1"/>
      <c r="N24" s="1"/>
      <c r="O24" s="1"/>
      <c r="P24" s="1"/>
      <c r="Q24" s="1"/>
      <c r="R24" s="1"/>
      <c r="S24" s="1"/>
      <c r="T24" s="1"/>
      <c r="U24" s="1"/>
      <c r="V24" s="1"/>
      <c r="W24" s="1"/>
      <c r="X24" s="1"/>
      <c r="Y24" s="1"/>
      <c r="Z24" s="1"/>
    </row>
    <row r="25" spans="1:26" x14ac:dyDescent="0.25">
      <c r="H25" s="1"/>
      <c r="I25" s="1"/>
      <c r="J25" s="1"/>
      <c r="K25" s="1"/>
      <c r="L25" s="1"/>
      <c r="M25" s="1"/>
      <c r="N25" s="1"/>
      <c r="O25" s="1"/>
      <c r="P25" s="1"/>
      <c r="Q25" s="1"/>
      <c r="R25" s="1"/>
      <c r="S25" s="1"/>
      <c r="T25" s="1"/>
      <c r="U25" s="1"/>
      <c r="V25" s="1"/>
      <c r="W25" s="1"/>
      <c r="X25" s="1"/>
      <c r="Y25" s="1"/>
      <c r="Z25" s="1"/>
    </row>
    <row r="26" spans="1:26" x14ac:dyDescent="0.25">
      <c r="H26" s="1"/>
      <c r="I26" s="1"/>
      <c r="J26" s="1"/>
      <c r="K26" s="1"/>
      <c r="L26" s="1"/>
      <c r="M26" s="1"/>
      <c r="N26" s="1"/>
      <c r="O26" s="1"/>
      <c r="P26" s="1"/>
      <c r="Q26" s="1"/>
      <c r="R26" s="1"/>
      <c r="S26" s="1"/>
      <c r="T26" s="1"/>
      <c r="U26" s="1"/>
      <c r="V26" s="1"/>
      <c r="W26" s="1"/>
      <c r="X26" s="1"/>
      <c r="Y26" s="1"/>
      <c r="Z26" s="1"/>
    </row>
    <row r="27" spans="1:26" x14ac:dyDescent="0.25">
      <c r="H27" s="1"/>
      <c r="I27" s="1"/>
      <c r="J27" s="1"/>
      <c r="K27" s="1"/>
      <c r="L27" s="1"/>
      <c r="M27" s="1"/>
      <c r="N27" s="1"/>
      <c r="O27" s="1"/>
      <c r="P27" s="1"/>
      <c r="Q27" s="1"/>
      <c r="R27" s="1"/>
      <c r="S27" s="1"/>
      <c r="T27" s="1"/>
      <c r="U27" s="1"/>
      <c r="V27" s="1"/>
      <c r="W27" s="1"/>
      <c r="X27" s="1"/>
      <c r="Y27" s="1"/>
      <c r="Z27" s="1"/>
    </row>
    <row r="28" spans="1:26" x14ac:dyDescent="0.25">
      <c r="H28" s="1"/>
      <c r="I28" s="1"/>
      <c r="J28" s="1"/>
      <c r="K28" s="1"/>
      <c r="L28" s="1"/>
      <c r="M28" s="1"/>
      <c r="N28" s="1"/>
      <c r="O28" s="1"/>
      <c r="P28" s="1"/>
      <c r="Q28" s="1"/>
      <c r="R28" s="1"/>
      <c r="S28" s="1"/>
      <c r="T28" s="1"/>
      <c r="U28" s="1"/>
      <c r="V28" s="1"/>
      <c r="W28" s="1"/>
      <c r="X28" s="1"/>
      <c r="Y28" s="1"/>
      <c r="Z28" s="1"/>
    </row>
    <row r="29" spans="1:26" x14ac:dyDescent="0.25">
      <c r="H29" s="1"/>
      <c r="I29" s="1"/>
      <c r="J29" s="1"/>
      <c r="K29" s="1"/>
      <c r="L29" s="1"/>
      <c r="M29" s="1"/>
      <c r="N29" s="1"/>
      <c r="O29" s="1"/>
      <c r="P29" s="1"/>
      <c r="Q29" s="1"/>
      <c r="R29" s="1"/>
      <c r="S29" s="1"/>
      <c r="T29" s="1"/>
      <c r="U29" s="1"/>
      <c r="V29" s="1"/>
      <c r="W29" s="1"/>
      <c r="X29" s="1"/>
      <c r="Y29" s="1"/>
      <c r="Z29" s="1"/>
    </row>
    <row r="30" spans="1:26" x14ac:dyDescent="0.25">
      <c r="H30" s="1"/>
      <c r="I30" s="1"/>
      <c r="J30" s="1"/>
      <c r="K30" s="1"/>
      <c r="L30" s="1"/>
      <c r="M30" s="1"/>
      <c r="N30" s="1"/>
      <c r="O30" s="1"/>
      <c r="P30" s="1"/>
      <c r="Q30" s="1"/>
      <c r="R30" s="1"/>
      <c r="S30" s="1"/>
      <c r="T30" s="1"/>
      <c r="U30" s="1"/>
      <c r="V30" s="1"/>
      <c r="W30" s="1"/>
      <c r="X30" s="1"/>
      <c r="Y30" s="1"/>
      <c r="Z30" s="1"/>
    </row>
    <row r="31" spans="1:26" x14ac:dyDescent="0.25">
      <c r="H31" s="1"/>
      <c r="I31" s="1"/>
      <c r="J31" s="1"/>
      <c r="K31" s="1"/>
      <c r="L31" s="1"/>
      <c r="M31" s="1"/>
      <c r="N31" s="1"/>
      <c r="O31" s="1"/>
      <c r="P31" s="1"/>
      <c r="Q31" s="1"/>
      <c r="R31" s="1"/>
      <c r="S31" s="1"/>
      <c r="T31" s="1"/>
      <c r="U31" s="1"/>
      <c r="V31" s="1"/>
      <c r="W31" s="1"/>
      <c r="X31" s="1"/>
      <c r="Y31" s="1"/>
      <c r="Z31" s="1"/>
    </row>
    <row r="32" spans="1:26" x14ac:dyDescent="0.25">
      <c r="A32" s="54"/>
      <c r="B32" s="54"/>
      <c r="C32" s="54"/>
      <c r="D32" s="54"/>
      <c r="E32" s="54"/>
      <c r="F32" s="54"/>
      <c r="G32" s="54"/>
    </row>
  </sheetData>
  <mergeCells count="1">
    <mergeCell ref="A32:G32"/>
  </mergeCells>
  <phoneticPr fontId="1" type="noConversion"/>
  <conditionalFormatting sqref="K2:K31">
    <cfRule type="colorScale" priority="4">
      <colorScale>
        <cfvo type="min"/>
        <cfvo type="percentile" val="50"/>
        <cfvo type="max"/>
        <color rgb="FFF8696B"/>
        <color rgb="FFFFEB84"/>
        <color rgb="FF63BE7B"/>
      </colorScale>
    </cfRule>
  </conditionalFormatting>
  <conditionalFormatting sqref="J2:J31">
    <cfRule type="colorScale" priority="3">
      <colorScale>
        <cfvo type="min"/>
        <cfvo type="percentile" val="50"/>
        <cfvo type="max"/>
        <color rgb="FFF8696B"/>
        <color rgb="FFFFEB84"/>
        <color rgb="FF63BE7B"/>
      </colorScale>
    </cfRule>
  </conditionalFormatting>
  <conditionalFormatting sqref="I2:I31">
    <cfRule type="colorScale" priority="2">
      <colorScale>
        <cfvo type="min"/>
        <cfvo type="percentile" val="50"/>
        <cfvo type="max"/>
        <color rgb="FFF8696B"/>
        <color rgb="FFFFEB84"/>
        <color rgb="FF63BE7B"/>
      </colorScale>
    </cfRule>
  </conditionalFormatting>
  <conditionalFormatting sqref="H2:H3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2CBA5784-DC09-4F22-B27A-35FCA286AD81}">
          <x14:formula1>
            <xm:f>Contents!$D$2:$D$28</xm:f>
          </x14:formula1>
          <xm:sqref>B2:B31</xm:sqref>
        </x14:dataValidation>
        <x14:dataValidation type="list" allowBlank="1" showInputMessage="1" showErrorMessage="1" xr:uid="{C8F97BC8-658E-41BA-981F-428BBEC42884}">
          <x14:formula1>
            <xm:f>Contents!$C$2:$C$8</xm:f>
          </x14:formula1>
          <xm:sqref>G2:G31</xm:sqref>
        </x14:dataValidation>
        <x14:dataValidation type="list" allowBlank="1" showInputMessage="1" showErrorMessage="1" xr:uid="{6DD7AA60-3940-40FF-8E7D-964493AC62DE}">
          <x14:formula1>
            <xm:f>Contents!$A$2:$A$18</xm:f>
          </x14:formula1>
          <xm:sqref>D2:F31</xm:sqref>
        </x14:dataValidation>
        <x14:dataValidation type="list" allowBlank="1" showInputMessage="1" showErrorMessage="1" xr:uid="{C620A4D3-4F5B-4F02-98B5-1510BA1742DC}">
          <x14:formula1>
            <xm:f>Contents!$J$2:$J$88</xm:f>
          </x14:formula1>
          <xm:sqref>L2:M31</xm:sqref>
        </x14:dataValidation>
        <x14:dataValidation type="list" allowBlank="1" showInputMessage="1" showErrorMessage="1" xr:uid="{F626C852-E03F-40E5-A0AD-D278EDB73616}">
          <x14:formula1>
            <xm:f>Contents!$I$2:$I$4</xm:f>
          </x14:formula1>
          <xm:sqref>Y2:Y31</xm:sqref>
        </x14:dataValidation>
        <x14:dataValidation type="list" allowBlank="1" showInputMessage="1" showErrorMessage="1" xr:uid="{A308DF99-0648-4680-B761-19075B662B0F}">
          <x14:formula1>
            <xm:f>Contents!$G$2:$G$9</xm:f>
          </x14:formula1>
          <xm:sqref>X2:X31</xm:sqref>
        </x14:dataValidation>
        <x14:dataValidation type="list" allowBlank="1" showInputMessage="1" showErrorMessage="1" xr:uid="{A66AAE02-4E98-436E-9C44-BD8067AEE586}">
          <x14:formula1>
            <xm:f>Contents!$K$2:$K$59</xm:f>
          </x14:formula1>
          <xm:sqref>N2:R7 N9:R31 R8 N8:O8</xm:sqref>
        </x14:dataValidation>
        <x14:dataValidation type="list" allowBlank="1" showInputMessage="1" showErrorMessage="1" xr:uid="{39F03F8C-7FD7-4B91-96AD-BCF0C626CBF3}">
          <x14:formula1>
            <xm:f>Contents!$L$2:$L$21</xm:f>
          </x14:formula1>
          <xm:sqref>S2:U31</xm:sqref>
        </x14:dataValidation>
        <x14:dataValidation type="list" allowBlank="1" showInputMessage="1" showErrorMessage="1" xr:uid="{29A3A5D8-A63F-4138-BE59-2620F952D884}">
          <x14:formula1>
            <xm:f>Contents!$M$2:$M$17</xm:f>
          </x14:formula1>
          <xm:sqref>V2:V31</xm:sqref>
        </x14:dataValidation>
        <x14:dataValidation type="list" allowBlank="1" showInputMessage="1" showErrorMessage="1" xr:uid="{54438AE3-47BF-4C78-A7DA-8262E654C898}">
          <x14:formula1>
            <xm:f>Contents!$H$2:$H$22</xm:f>
          </x14:formula1>
          <xm:sqref>W2:W31</xm:sqref>
        </x14:dataValidation>
        <x14:dataValidation type="list" allowBlank="1" showInputMessage="1" showErrorMessage="1" xr:uid="{48522082-D601-4B39-ABA2-8268DDA65AB9}">
          <x14:formula1>
            <xm:f>Contents!$N$2:$N$5</xm:f>
          </x14:formula1>
          <xm:sqref>Z2:Z31</xm:sqref>
        </x14:dataValidation>
        <x14:dataValidation type="list" allowBlank="1" showInputMessage="1" showErrorMessage="1" xr:uid="{A18490FB-6C9D-4C53-AB42-97E287D42E64}">
          <x14:formula1>
            <xm:f>Contents!$F$2:$F$14</xm:f>
          </x14:formula1>
          <xm:sqref>C2:C31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07205-2015-411D-A4FD-CFD8F0451FCF}">
  <sheetPr codeName="Sheet1">
    <tabColor theme="9"/>
  </sheetPr>
  <dimension ref="A1:Z32"/>
  <sheetViews>
    <sheetView topLeftCell="Y1" zoomScaleNormal="100" workbookViewId="0">
      <selection activeCell="Z1" sqref="Z1"/>
    </sheetView>
  </sheetViews>
  <sheetFormatPr defaultRowHeight="15" x14ac:dyDescent="0.25"/>
  <cols>
    <col min="1" max="1" width="29.42578125" bestFit="1" customWidth="1"/>
    <col min="2" max="3" width="19.85546875" bestFit="1" customWidth="1"/>
    <col min="4" max="4" width="18.5703125" bestFit="1" customWidth="1"/>
    <col min="5" max="5" width="13.85546875" bestFit="1" customWidth="1"/>
    <col min="7" max="7" width="18.140625" bestFit="1" customWidth="1"/>
    <col min="12" max="12" width="20.7109375" bestFit="1" customWidth="1"/>
    <col min="13" max="13" width="20.140625" bestFit="1" customWidth="1"/>
    <col min="14" max="20" width="11.7109375" bestFit="1" customWidth="1"/>
    <col min="21" max="21" width="11.7109375" customWidth="1"/>
    <col min="22" max="22" width="21.7109375" bestFit="1" customWidth="1"/>
    <col min="23" max="23" width="22.140625" bestFit="1" customWidth="1"/>
    <col min="24" max="24" width="17.5703125" bestFit="1" customWidth="1"/>
    <col min="25" max="25" width="15.710937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325</v>
      </c>
      <c r="V1" s="1" t="s">
        <v>276</v>
      </c>
      <c r="W1" s="1" t="s">
        <v>106</v>
      </c>
      <c r="X1" s="1" t="s">
        <v>107</v>
      </c>
      <c r="Y1" s="1" t="s">
        <v>108</v>
      </c>
      <c r="Z1" s="1" t="s">
        <v>421</v>
      </c>
    </row>
    <row r="2" spans="1:26" x14ac:dyDescent="0.25">
      <c r="H2" s="1"/>
      <c r="I2" s="1"/>
      <c r="J2" s="1"/>
      <c r="K2" s="1"/>
      <c r="L2" s="1"/>
      <c r="M2" s="1"/>
      <c r="N2" s="1"/>
      <c r="O2" s="1"/>
      <c r="P2" s="1"/>
      <c r="Q2" s="1"/>
      <c r="R2" s="1"/>
      <c r="S2" s="1"/>
      <c r="T2" s="1"/>
      <c r="U2" s="1"/>
      <c r="V2" s="1"/>
      <c r="W2" s="1"/>
      <c r="X2" s="1"/>
      <c r="Y2" s="1"/>
      <c r="Z2" s="1"/>
    </row>
    <row r="3" spans="1:26" x14ac:dyDescent="0.25">
      <c r="H3" s="1"/>
      <c r="I3" s="1"/>
      <c r="J3" s="1"/>
      <c r="K3" s="1"/>
      <c r="L3" s="1"/>
      <c r="M3" s="1"/>
      <c r="N3" s="1"/>
      <c r="O3" s="1"/>
      <c r="P3" s="1"/>
      <c r="Q3" s="1"/>
      <c r="R3" s="1"/>
      <c r="S3" s="1"/>
      <c r="T3" s="1"/>
      <c r="U3" s="1"/>
      <c r="V3" s="1"/>
      <c r="W3" s="1"/>
      <c r="X3" s="1"/>
      <c r="Y3" s="1"/>
      <c r="Z3" s="1"/>
    </row>
    <row r="4" spans="1:26" x14ac:dyDescent="0.25">
      <c r="H4" s="1"/>
      <c r="I4" s="1"/>
      <c r="J4" s="1"/>
      <c r="K4" s="1"/>
      <c r="L4" s="1"/>
      <c r="M4" s="1"/>
      <c r="N4" s="1"/>
      <c r="O4" s="1"/>
      <c r="P4" s="1"/>
      <c r="Q4" s="1"/>
      <c r="R4" s="1"/>
      <c r="S4" s="1"/>
      <c r="T4" s="1"/>
      <c r="U4" s="1"/>
      <c r="V4" s="1"/>
      <c r="W4" s="1"/>
      <c r="X4" s="1"/>
      <c r="Y4" s="1"/>
      <c r="Z4" s="1"/>
    </row>
    <row r="5" spans="1:26" x14ac:dyDescent="0.25">
      <c r="H5" s="1"/>
      <c r="I5" s="1"/>
      <c r="J5" s="1"/>
      <c r="K5" s="1"/>
      <c r="L5" s="1"/>
      <c r="M5" s="1"/>
      <c r="N5" s="1"/>
      <c r="O5" s="1"/>
      <c r="P5" s="1"/>
      <c r="Q5" s="1"/>
      <c r="R5" s="1"/>
      <c r="S5" s="1"/>
      <c r="T5" s="1"/>
      <c r="U5" s="1"/>
      <c r="V5" s="1"/>
      <c r="W5" s="1"/>
      <c r="X5" s="1"/>
      <c r="Y5" s="1"/>
      <c r="Z5" s="1"/>
    </row>
    <row r="6" spans="1:26" x14ac:dyDescent="0.25">
      <c r="H6" s="1"/>
      <c r="I6" s="1"/>
      <c r="J6" s="1"/>
      <c r="K6" s="1"/>
      <c r="L6" s="1"/>
      <c r="M6" s="1"/>
      <c r="N6" s="1"/>
      <c r="O6" s="1"/>
      <c r="P6" s="1"/>
      <c r="Q6" s="1"/>
      <c r="R6" s="1"/>
      <c r="S6" s="1"/>
      <c r="T6" s="1"/>
      <c r="U6" s="1"/>
      <c r="V6" s="1"/>
      <c r="W6" s="1"/>
      <c r="X6" s="1"/>
      <c r="Y6" s="1"/>
      <c r="Z6" s="1"/>
    </row>
    <row r="7" spans="1:26" x14ac:dyDescent="0.25">
      <c r="H7" s="1"/>
      <c r="I7" s="1"/>
      <c r="J7" s="1"/>
      <c r="K7" s="1"/>
      <c r="L7" s="1"/>
      <c r="M7" s="1"/>
      <c r="N7" s="1"/>
      <c r="O7" s="1"/>
      <c r="P7" s="1"/>
      <c r="Q7" s="1"/>
      <c r="R7" s="1"/>
      <c r="S7" s="1"/>
      <c r="T7" s="1"/>
      <c r="U7" s="1"/>
      <c r="V7" s="1"/>
      <c r="W7" s="1"/>
      <c r="X7" s="1"/>
      <c r="Y7" s="1"/>
      <c r="Z7" s="1"/>
    </row>
    <row r="8" spans="1:26" x14ac:dyDescent="0.25">
      <c r="H8" s="1"/>
      <c r="I8" s="1"/>
      <c r="J8" s="1"/>
      <c r="K8" s="1"/>
      <c r="L8" s="1"/>
      <c r="M8" s="1"/>
      <c r="N8" s="1"/>
      <c r="O8" s="1"/>
      <c r="P8" s="1"/>
      <c r="Q8" s="1"/>
      <c r="R8" s="1"/>
      <c r="S8" s="1"/>
      <c r="T8" s="1"/>
      <c r="U8" s="1"/>
      <c r="V8" s="1"/>
      <c r="W8" s="1"/>
      <c r="X8" s="1"/>
      <c r="Y8" s="1"/>
      <c r="Z8" s="1"/>
    </row>
    <row r="9" spans="1:26" x14ac:dyDescent="0.25">
      <c r="H9" s="1"/>
      <c r="I9" s="1"/>
      <c r="J9" s="1"/>
      <c r="K9" s="1"/>
      <c r="L9" s="1"/>
      <c r="M9" s="1"/>
      <c r="N9" s="1"/>
      <c r="O9" s="1"/>
      <c r="P9" s="1"/>
      <c r="Q9" s="1"/>
      <c r="R9" s="1"/>
      <c r="S9" s="1"/>
      <c r="T9" s="1"/>
      <c r="U9" s="1"/>
      <c r="V9" s="1"/>
      <c r="W9" s="1"/>
      <c r="X9" s="1"/>
      <c r="Y9" s="1"/>
      <c r="Z9" s="1"/>
    </row>
    <row r="10" spans="1:26" x14ac:dyDescent="0.25">
      <c r="H10" s="1"/>
      <c r="I10" s="1"/>
      <c r="J10" s="1"/>
      <c r="K10" s="1"/>
      <c r="L10" s="1"/>
      <c r="M10" s="1"/>
      <c r="N10" s="1"/>
      <c r="O10" s="1"/>
      <c r="P10" s="1"/>
      <c r="Q10" s="1"/>
      <c r="R10" s="1"/>
      <c r="S10" s="1"/>
      <c r="T10" s="1"/>
      <c r="U10" s="1"/>
      <c r="V10" s="1"/>
      <c r="W10" s="1"/>
      <c r="X10" s="1"/>
      <c r="Y10" s="1"/>
      <c r="Z10" s="1"/>
    </row>
    <row r="11" spans="1:26" x14ac:dyDescent="0.25">
      <c r="H11" s="1"/>
      <c r="I11" s="1"/>
      <c r="J11" s="1"/>
      <c r="K11" s="1"/>
      <c r="L11" s="1"/>
      <c r="M11" s="1"/>
      <c r="N11" s="1"/>
      <c r="O11" s="1"/>
      <c r="P11" s="1"/>
      <c r="Q11" s="1"/>
      <c r="R11" s="1"/>
      <c r="S11" s="1"/>
      <c r="T11" s="1"/>
      <c r="U11" s="1"/>
      <c r="V11" s="1"/>
      <c r="W11" s="1"/>
      <c r="X11" s="1"/>
      <c r="Y11" s="1"/>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1:26" x14ac:dyDescent="0.25">
      <c r="H17" s="1"/>
      <c r="I17" s="1"/>
      <c r="J17" s="1"/>
      <c r="K17" s="1"/>
      <c r="L17" s="1"/>
      <c r="M17" s="1"/>
      <c r="N17" s="1"/>
      <c r="O17" s="1"/>
      <c r="P17" s="1"/>
      <c r="Q17" s="1"/>
      <c r="R17" s="1"/>
      <c r="S17" s="1"/>
      <c r="T17" s="1"/>
      <c r="U17" s="1"/>
      <c r="V17" s="1"/>
      <c r="W17" s="1"/>
      <c r="X17" s="1"/>
      <c r="Y17" s="1"/>
      <c r="Z17" s="1"/>
    </row>
    <row r="18" spans="1:26" x14ac:dyDescent="0.25">
      <c r="H18" s="1"/>
      <c r="I18" s="1"/>
      <c r="J18" s="1"/>
      <c r="K18" s="1"/>
      <c r="L18" s="1"/>
      <c r="M18" s="1"/>
      <c r="N18" s="1"/>
      <c r="O18" s="1"/>
      <c r="P18" s="1"/>
      <c r="Q18" s="1"/>
      <c r="R18" s="1"/>
      <c r="S18" s="1"/>
      <c r="T18" s="1"/>
      <c r="U18" s="1"/>
      <c r="V18" s="1"/>
      <c r="W18" s="1"/>
      <c r="X18" s="1"/>
      <c r="Y18" s="1"/>
      <c r="Z18" s="1"/>
    </row>
    <row r="19" spans="1:26" x14ac:dyDescent="0.25">
      <c r="H19" s="1"/>
      <c r="I19" s="1"/>
      <c r="J19" s="1"/>
      <c r="K19" s="1"/>
      <c r="L19" s="1"/>
      <c r="M19" s="1"/>
      <c r="N19" s="1"/>
      <c r="O19" s="1"/>
      <c r="P19" s="1"/>
      <c r="Q19" s="1"/>
      <c r="R19" s="1"/>
      <c r="S19" s="1"/>
      <c r="T19" s="1"/>
      <c r="U19" s="1"/>
      <c r="V19" s="1"/>
      <c r="W19" s="1"/>
      <c r="X19" s="1"/>
      <c r="Y19" s="1"/>
      <c r="Z19" s="1"/>
    </row>
    <row r="20" spans="1:26" x14ac:dyDescent="0.25">
      <c r="H20" s="1"/>
      <c r="I20" s="1"/>
      <c r="J20" s="1"/>
      <c r="K20" s="1"/>
      <c r="L20" s="1"/>
      <c r="M20" s="1"/>
      <c r="N20" s="1"/>
      <c r="O20" s="1"/>
      <c r="P20" s="1"/>
      <c r="Q20" s="1"/>
      <c r="R20" s="1"/>
      <c r="S20" s="1"/>
      <c r="T20" s="1"/>
      <c r="U20" s="1"/>
      <c r="V20" s="1"/>
      <c r="W20" s="1"/>
      <c r="X20" s="1"/>
      <c r="Y20" s="1"/>
      <c r="Z20" s="1"/>
    </row>
    <row r="21" spans="1:26" x14ac:dyDescent="0.25">
      <c r="H21" s="1"/>
      <c r="I21" s="1"/>
      <c r="J21" s="1"/>
      <c r="K21" s="1"/>
      <c r="L21" s="1"/>
      <c r="M21" s="1"/>
      <c r="N21" s="1"/>
      <c r="O21" s="1"/>
      <c r="P21" s="1"/>
      <c r="Q21" s="1"/>
      <c r="R21" s="1"/>
      <c r="S21" s="1"/>
      <c r="T21" s="1"/>
      <c r="U21" s="1"/>
      <c r="V21" s="1"/>
      <c r="W21" s="1"/>
      <c r="X21" s="1"/>
      <c r="Y21" s="1"/>
      <c r="Z21" s="1"/>
    </row>
    <row r="22" spans="1:26" x14ac:dyDescent="0.25">
      <c r="H22" s="1"/>
      <c r="I22" s="1"/>
      <c r="J22" s="1"/>
      <c r="K22" s="1"/>
      <c r="L22" s="1"/>
      <c r="M22" s="1"/>
      <c r="N22" s="1"/>
      <c r="O22" s="1"/>
      <c r="P22" s="1"/>
      <c r="Q22" s="1"/>
      <c r="R22" s="1"/>
      <c r="S22" s="1"/>
      <c r="T22" s="1"/>
      <c r="U22" s="1"/>
      <c r="V22" s="1"/>
      <c r="W22" s="1"/>
      <c r="X22" s="1"/>
      <c r="Y22" s="1"/>
      <c r="Z22" s="1"/>
    </row>
    <row r="23" spans="1:26" x14ac:dyDescent="0.25">
      <c r="H23" s="1"/>
      <c r="I23" s="1"/>
      <c r="J23" s="1"/>
      <c r="K23" s="1"/>
      <c r="L23" s="1"/>
      <c r="M23" s="1"/>
      <c r="N23" s="1"/>
      <c r="O23" s="1"/>
      <c r="P23" s="1"/>
      <c r="Q23" s="1"/>
      <c r="R23" s="1"/>
      <c r="S23" s="1"/>
      <c r="T23" s="1"/>
      <c r="U23" s="1"/>
      <c r="V23" s="1"/>
      <c r="W23" s="1"/>
      <c r="X23" s="1"/>
      <c r="Y23" s="1"/>
      <c r="Z23" s="1"/>
    </row>
    <row r="24" spans="1:26" x14ac:dyDescent="0.25">
      <c r="H24" s="1"/>
      <c r="I24" s="1"/>
      <c r="J24" s="1"/>
      <c r="K24" s="1"/>
      <c r="L24" s="1"/>
      <c r="M24" s="1"/>
      <c r="N24" s="1"/>
      <c r="O24" s="1"/>
      <c r="P24" s="1"/>
      <c r="Q24" s="1"/>
      <c r="R24" s="1"/>
      <c r="S24" s="1"/>
      <c r="T24" s="1"/>
      <c r="U24" s="1"/>
      <c r="V24" s="1"/>
      <c r="W24" s="1"/>
      <c r="X24" s="1"/>
      <c r="Y24" s="1"/>
      <c r="Z24" s="1"/>
    </row>
    <row r="25" spans="1:26" x14ac:dyDescent="0.25">
      <c r="H25" s="1"/>
      <c r="I25" s="1"/>
      <c r="J25" s="1"/>
      <c r="K25" s="1"/>
      <c r="L25" s="1"/>
      <c r="M25" s="1"/>
      <c r="N25" s="1"/>
      <c r="O25" s="1"/>
      <c r="P25" s="1"/>
      <c r="Q25" s="1"/>
      <c r="R25" s="1"/>
      <c r="S25" s="1"/>
      <c r="T25" s="1"/>
      <c r="U25" s="1"/>
      <c r="V25" s="1"/>
      <c r="W25" s="1"/>
      <c r="X25" s="1"/>
      <c r="Y25" s="1"/>
      <c r="Z25" s="1"/>
    </row>
    <row r="26" spans="1:26" x14ac:dyDescent="0.25">
      <c r="H26" s="1"/>
      <c r="I26" s="1"/>
      <c r="J26" s="1"/>
      <c r="K26" s="1"/>
      <c r="L26" s="1"/>
      <c r="M26" s="1"/>
      <c r="N26" s="1"/>
      <c r="O26" s="1"/>
      <c r="P26" s="1"/>
      <c r="Q26" s="1"/>
      <c r="R26" s="1"/>
      <c r="S26" s="1"/>
      <c r="T26" s="1"/>
      <c r="U26" s="1"/>
      <c r="V26" s="1"/>
      <c r="W26" s="1"/>
      <c r="X26" s="1"/>
      <c r="Y26" s="1"/>
      <c r="Z26" s="1"/>
    </row>
    <row r="27" spans="1:26" x14ac:dyDescent="0.25">
      <c r="H27" s="1"/>
      <c r="I27" s="1"/>
      <c r="J27" s="1"/>
      <c r="K27" s="1"/>
      <c r="L27" s="1"/>
      <c r="M27" s="1"/>
      <c r="N27" s="1"/>
      <c r="O27" s="1"/>
      <c r="P27" s="1"/>
      <c r="Q27" s="1"/>
      <c r="R27" s="1"/>
      <c r="S27" s="1"/>
      <c r="T27" s="1"/>
      <c r="U27" s="1"/>
      <c r="V27" s="1"/>
      <c r="W27" s="1"/>
      <c r="X27" s="1"/>
      <c r="Y27" s="1"/>
      <c r="Z27" s="1"/>
    </row>
    <row r="28" spans="1:26" x14ac:dyDescent="0.25">
      <c r="H28" s="1"/>
      <c r="I28" s="1"/>
      <c r="J28" s="1"/>
      <c r="K28" s="1"/>
      <c r="L28" s="1"/>
      <c r="M28" s="1"/>
      <c r="N28" s="1"/>
      <c r="O28" s="1"/>
      <c r="P28" s="1"/>
      <c r="Q28" s="1"/>
      <c r="R28" s="1"/>
      <c r="S28" s="1"/>
      <c r="T28" s="1"/>
      <c r="U28" s="1"/>
      <c r="V28" s="1"/>
      <c r="W28" s="1"/>
      <c r="X28" s="1"/>
      <c r="Y28" s="1"/>
      <c r="Z28" s="1"/>
    </row>
    <row r="29" spans="1:26" x14ac:dyDescent="0.25">
      <c r="H29" s="1"/>
      <c r="I29" s="1"/>
      <c r="J29" s="1"/>
      <c r="K29" s="1"/>
      <c r="L29" s="1"/>
      <c r="M29" s="1"/>
      <c r="N29" s="1"/>
      <c r="O29" s="1"/>
      <c r="P29" s="1"/>
      <c r="Q29" s="1"/>
      <c r="R29" s="1"/>
      <c r="S29" s="1"/>
      <c r="T29" s="1"/>
      <c r="U29" s="1"/>
      <c r="V29" s="1"/>
      <c r="W29" s="1"/>
      <c r="X29" s="1"/>
      <c r="Y29" s="1"/>
      <c r="Z29" s="1"/>
    </row>
    <row r="30" spans="1:26" x14ac:dyDescent="0.25">
      <c r="H30" s="1"/>
      <c r="I30" s="1"/>
      <c r="J30" s="1"/>
      <c r="K30" s="1"/>
      <c r="L30" s="1"/>
      <c r="M30" s="1"/>
      <c r="N30" s="1"/>
      <c r="O30" s="1"/>
      <c r="P30" s="1"/>
      <c r="Q30" s="1"/>
      <c r="R30" s="1"/>
      <c r="S30" s="1"/>
      <c r="T30" s="1"/>
      <c r="U30" s="1"/>
      <c r="V30" s="1"/>
      <c r="W30" s="1"/>
      <c r="X30" s="1"/>
      <c r="Y30" s="1"/>
      <c r="Z30" s="1"/>
    </row>
    <row r="31" spans="1:26" x14ac:dyDescent="0.25">
      <c r="H31" s="1"/>
      <c r="I31" s="1"/>
      <c r="J31" s="1"/>
      <c r="K31" s="1"/>
      <c r="L31" s="1"/>
      <c r="M31" s="1"/>
      <c r="N31" s="1"/>
      <c r="O31" s="1"/>
      <c r="P31" s="1"/>
      <c r="Q31" s="1"/>
      <c r="R31" s="1"/>
      <c r="S31" s="1"/>
      <c r="T31" s="1"/>
      <c r="U31" s="1"/>
      <c r="V31" s="1"/>
      <c r="W31" s="1"/>
      <c r="X31" s="1"/>
      <c r="Y31" s="1"/>
      <c r="Z31" s="1"/>
    </row>
    <row r="32" spans="1:26" x14ac:dyDescent="0.25">
      <c r="A32" s="54"/>
      <c r="B32" s="54"/>
      <c r="C32" s="54"/>
      <c r="D32" s="54"/>
      <c r="E32" s="54"/>
      <c r="F32" s="54"/>
      <c r="G32" s="54"/>
    </row>
  </sheetData>
  <sortState xmlns:xlrd2="http://schemas.microsoft.com/office/spreadsheetml/2017/richdata2" ref="A2:K11">
    <sortCondition descending="1" ref="J2:J11"/>
  </sortState>
  <mergeCells count="1">
    <mergeCell ref="A32:G32"/>
  </mergeCells>
  <phoneticPr fontId="1" type="noConversion"/>
  <conditionalFormatting sqref="K2:K31">
    <cfRule type="colorScale" priority="4">
      <colorScale>
        <cfvo type="min"/>
        <cfvo type="percentile" val="50"/>
        <cfvo type="max"/>
        <color rgb="FFF8696B"/>
        <color rgb="FFFFEB84"/>
        <color rgb="FF63BE7B"/>
      </colorScale>
    </cfRule>
  </conditionalFormatting>
  <conditionalFormatting sqref="J2:J31">
    <cfRule type="colorScale" priority="3">
      <colorScale>
        <cfvo type="min"/>
        <cfvo type="percentile" val="50"/>
        <cfvo type="max"/>
        <color rgb="FFF8696B"/>
        <color rgb="FFFFEB84"/>
        <color rgb="FF63BE7B"/>
      </colorScale>
    </cfRule>
  </conditionalFormatting>
  <conditionalFormatting sqref="I2:I31">
    <cfRule type="colorScale" priority="2">
      <colorScale>
        <cfvo type="min"/>
        <cfvo type="percentile" val="50"/>
        <cfvo type="max"/>
        <color rgb="FFF8696B"/>
        <color rgb="FFFFEB84"/>
        <color rgb="FF63BE7B"/>
      </colorScale>
    </cfRule>
  </conditionalFormatting>
  <conditionalFormatting sqref="H2:H3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A64497DA-22EB-440F-BE83-E36F65B8898F}">
          <x14:formula1>
            <xm:f>Contents!$A$2:$A$18</xm:f>
          </x14:formula1>
          <xm:sqref>D2:F31</xm:sqref>
        </x14:dataValidation>
        <x14:dataValidation type="list" allowBlank="1" showInputMessage="1" showErrorMessage="1" xr:uid="{797E77F6-6831-4AB5-8E45-DA24BC9FD429}">
          <x14:formula1>
            <xm:f>Contents!$C$2:$C$8</xm:f>
          </x14:formula1>
          <xm:sqref>G2:G31</xm:sqref>
        </x14:dataValidation>
        <x14:dataValidation type="list" allowBlank="1" showInputMessage="1" showErrorMessage="1" xr:uid="{ABA7310E-D671-44D2-909C-26AF0CFB4E81}">
          <x14:formula1>
            <xm:f>Contents!$D$2:$D$28</xm:f>
          </x14:formula1>
          <xm:sqref>B2:B31</xm:sqref>
        </x14:dataValidation>
        <x14:dataValidation type="list" allowBlank="1" showInputMessage="1" showErrorMessage="1" xr:uid="{7B399B08-EC2F-411B-A967-E0CEC5EE4204}">
          <x14:formula1>
            <xm:f>Contents!$J$2:$J$88</xm:f>
          </x14:formula1>
          <xm:sqref>L2:M31</xm:sqref>
        </x14:dataValidation>
        <x14:dataValidation type="list" allowBlank="1" showInputMessage="1" showErrorMessage="1" xr:uid="{3A84711B-153C-4E7A-A76F-99DECBA4F6B5}">
          <x14:formula1>
            <xm:f>Contents!$I$2:$I$4</xm:f>
          </x14:formula1>
          <xm:sqref>Y2:Y31</xm:sqref>
        </x14:dataValidation>
        <x14:dataValidation type="list" allowBlank="1" showInputMessage="1" showErrorMessage="1" xr:uid="{3BF58FDC-2BEF-4403-9B36-229536DE5859}">
          <x14:formula1>
            <xm:f>Contents!$G$2:$G$9</xm:f>
          </x14:formula1>
          <xm:sqref>X2:X31</xm:sqref>
        </x14:dataValidation>
        <x14:dataValidation type="list" allowBlank="1" showInputMessage="1" showErrorMessage="1" xr:uid="{7C161149-0C74-4264-97A2-B1C9AF99398B}">
          <x14:formula1>
            <xm:f>Contents!$L$2:$L$21</xm:f>
          </x14:formula1>
          <xm:sqref>S2:U31</xm:sqref>
        </x14:dataValidation>
        <x14:dataValidation type="list" allowBlank="1" showInputMessage="1" showErrorMessage="1" xr:uid="{64ECA0B2-7D05-4E50-828D-B649A1CF2B89}">
          <x14:formula1>
            <xm:f>Contents!$K$2:$K$59</xm:f>
          </x14:formula1>
          <xm:sqref>N2:R7 N9:R31 R8 N8:O8</xm:sqref>
        </x14:dataValidation>
        <x14:dataValidation type="list" allowBlank="1" showInputMessage="1" showErrorMessage="1" xr:uid="{8C662D6F-CF70-4306-9009-11B10C6E0CDD}">
          <x14:formula1>
            <xm:f>Contents!$M$2:$M$17</xm:f>
          </x14:formula1>
          <xm:sqref>V2:V31</xm:sqref>
        </x14:dataValidation>
        <x14:dataValidation type="list" allowBlank="1" showInputMessage="1" showErrorMessage="1" xr:uid="{715B86E4-40C3-4F46-84C8-D7D2A453226E}">
          <x14:formula1>
            <xm:f>Contents!$H$2:$H$22</xm:f>
          </x14:formula1>
          <xm:sqref>W2:W31</xm:sqref>
        </x14:dataValidation>
        <x14:dataValidation type="list" allowBlank="1" showInputMessage="1" showErrorMessage="1" xr:uid="{25A21933-F9A3-4AF0-8B44-F782B75ED726}">
          <x14:formula1>
            <xm:f>Contents!$N$2:$N$5</xm:f>
          </x14:formula1>
          <xm:sqref>Z2:Z31</xm:sqref>
        </x14:dataValidation>
        <x14:dataValidation type="list" allowBlank="1" showInputMessage="1" showErrorMessage="1" xr:uid="{0D979715-76E0-43E8-B772-588E2996F14E}">
          <x14:formula1>
            <xm:f>Contents!$F$2:$F$14</xm:f>
          </x14:formula1>
          <xm:sqref>C2:C31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23A80-9FE3-4DBB-B6C7-FC0C0A8EEAD3}">
  <sheetPr codeName="Sheet7">
    <tabColor theme="9"/>
  </sheetPr>
  <dimension ref="A1:Z32"/>
  <sheetViews>
    <sheetView topLeftCell="J1" workbookViewId="0">
      <selection activeCell="Z1" sqref="Z1"/>
    </sheetView>
  </sheetViews>
  <sheetFormatPr defaultRowHeight="15" x14ac:dyDescent="0.25"/>
  <cols>
    <col min="1" max="1" width="31.140625" bestFit="1" customWidth="1"/>
    <col min="2" max="2" width="23.42578125" bestFit="1" customWidth="1"/>
    <col min="3" max="3" width="19.85546875" bestFit="1" customWidth="1"/>
    <col min="5" max="5" width="13.5703125" bestFit="1" customWidth="1"/>
    <col min="12" max="12" width="19" bestFit="1" customWidth="1"/>
    <col min="13" max="13" width="20.7109375" bestFit="1" customWidth="1"/>
    <col min="22" max="22" width="20.42578125" bestFit="1" customWidth="1"/>
    <col min="23" max="23" width="22.140625" bestFit="1" customWidth="1"/>
    <col min="24" max="24" width="17.5703125" bestFit="1" customWidth="1"/>
    <col min="25" max="25" width="15.710937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329</v>
      </c>
      <c r="V1" s="1" t="s">
        <v>276</v>
      </c>
      <c r="W1" s="1" t="s">
        <v>106</v>
      </c>
      <c r="X1" s="1" t="s">
        <v>107</v>
      </c>
      <c r="Y1" s="1" t="s">
        <v>108</v>
      </c>
      <c r="Z1" s="1" t="s">
        <v>421</v>
      </c>
    </row>
    <row r="2" spans="1:26" x14ac:dyDescent="0.25">
      <c r="H2" s="1"/>
      <c r="I2" s="1"/>
      <c r="J2" s="1"/>
      <c r="K2" s="1"/>
      <c r="L2" s="1"/>
      <c r="M2" s="1"/>
      <c r="N2" s="1"/>
      <c r="O2" s="1"/>
      <c r="P2" s="1"/>
      <c r="Q2" s="1"/>
      <c r="R2" s="1"/>
      <c r="S2" s="1"/>
      <c r="T2" s="1"/>
      <c r="U2" s="1"/>
      <c r="V2" s="1"/>
      <c r="W2" s="1"/>
      <c r="X2" s="1"/>
      <c r="Y2" s="1"/>
      <c r="Z2" s="1"/>
    </row>
    <row r="3" spans="1:26" x14ac:dyDescent="0.25">
      <c r="H3" s="1"/>
      <c r="I3" s="1"/>
      <c r="J3" s="1"/>
      <c r="K3" s="1"/>
      <c r="L3" s="1"/>
      <c r="M3" s="1"/>
      <c r="N3" s="1"/>
      <c r="O3" s="1"/>
      <c r="P3" s="1"/>
      <c r="Q3" s="1"/>
      <c r="R3" s="1"/>
      <c r="S3" s="1"/>
      <c r="T3" s="1"/>
      <c r="U3" s="1"/>
      <c r="V3" s="1"/>
      <c r="W3" s="1"/>
      <c r="X3" s="1"/>
      <c r="Y3" s="1"/>
      <c r="Z3" s="1"/>
    </row>
    <row r="4" spans="1:26" x14ac:dyDescent="0.25">
      <c r="H4" s="1"/>
      <c r="I4" s="1"/>
      <c r="J4" s="1"/>
      <c r="K4" s="1"/>
      <c r="L4" s="1"/>
      <c r="M4" s="1"/>
      <c r="N4" s="1"/>
      <c r="O4" s="1"/>
      <c r="P4" s="1"/>
      <c r="Q4" s="1"/>
      <c r="R4" s="1"/>
      <c r="S4" s="1"/>
      <c r="T4" s="1"/>
      <c r="U4" s="1"/>
      <c r="V4" s="1"/>
      <c r="W4" s="1"/>
      <c r="X4" s="1"/>
      <c r="Y4" s="1"/>
      <c r="Z4" s="1"/>
    </row>
    <row r="5" spans="1:26" x14ac:dyDescent="0.25">
      <c r="H5" s="1"/>
      <c r="I5" s="1"/>
      <c r="J5" s="1"/>
      <c r="K5" s="1"/>
      <c r="L5" s="1"/>
      <c r="M5" s="1"/>
      <c r="N5" s="1"/>
      <c r="O5" s="1"/>
      <c r="P5" s="1"/>
      <c r="Q5" s="1"/>
      <c r="R5" s="1"/>
      <c r="S5" s="1"/>
      <c r="T5" s="1"/>
      <c r="U5" s="1"/>
      <c r="V5" s="1"/>
      <c r="W5" s="1"/>
      <c r="X5" s="1"/>
      <c r="Y5" s="1"/>
      <c r="Z5" s="1"/>
    </row>
    <row r="6" spans="1:26" x14ac:dyDescent="0.25">
      <c r="H6" s="1"/>
      <c r="I6" s="1"/>
      <c r="J6" s="1"/>
      <c r="K6" s="1"/>
      <c r="L6" s="1"/>
      <c r="M6" s="1"/>
      <c r="N6" s="1"/>
      <c r="O6" s="1"/>
      <c r="P6" s="1"/>
      <c r="Q6" s="1"/>
      <c r="R6" s="1"/>
      <c r="S6" s="1"/>
      <c r="T6" s="1"/>
      <c r="U6" s="1"/>
      <c r="V6" s="1"/>
      <c r="W6" s="1"/>
      <c r="X6" s="1"/>
      <c r="Y6" s="1"/>
      <c r="Z6" s="1"/>
    </row>
    <row r="7" spans="1:26" x14ac:dyDescent="0.25">
      <c r="H7" s="1"/>
      <c r="I7" s="1"/>
      <c r="J7" s="1"/>
      <c r="K7" s="1"/>
      <c r="L7" s="1"/>
      <c r="M7" s="1"/>
      <c r="N7" s="1"/>
      <c r="O7" s="1"/>
      <c r="P7" s="1"/>
      <c r="Q7" s="1"/>
      <c r="R7" s="1"/>
      <c r="S7" s="1"/>
      <c r="T7" s="1"/>
      <c r="U7" s="1"/>
      <c r="V7" s="1"/>
      <c r="W7" s="1"/>
      <c r="X7" s="1"/>
      <c r="Y7" s="1"/>
      <c r="Z7" s="1"/>
    </row>
    <row r="8" spans="1:26" x14ac:dyDescent="0.25">
      <c r="H8" s="1"/>
      <c r="I8" s="1"/>
      <c r="J8" s="1"/>
      <c r="K8" s="1"/>
      <c r="L8" s="1"/>
      <c r="M8" s="1"/>
      <c r="N8" s="1"/>
      <c r="O8" s="1"/>
      <c r="P8" s="1"/>
      <c r="Q8" s="1"/>
      <c r="R8" s="1"/>
      <c r="S8" s="1"/>
      <c r="T8" s="1"/>
      <c r="U8" s="1"/>
      <c r="V8" s="1"/>
      <c r="W8" s="1"/>
      <c r="X8" s="1"/>
      <c r="Y8" s="1"/>
      <c r="Z8" s="1"/>
    </row>
    <row r="9" spans="1:26" x14ac:dyDescent="0.25">
      <c r="H9" s="1"/>
      <c r="I9" s="1"/>
      <c r="J9" s="1"/>
      <c r="K9" s="1"/>
      <c r="L9" s="1"/>
      <c r="M9" s="1"/>
      <c r="N9" s="1"/>
      <c r="O9" s="1"/>
      <c r="P9" s="1"/>
      <c r="Q9" s="1"/>
      <c r="R9" s="1"/>
      <c r="S9" s="1"/>
      <c r="T9" s="1"/>
      <c r="U9" s="1"/>
      <c r="V9" s="1"/>
      <c r="W9" s="1"/>
      <c r="X9" s="1"/>
      <c r="Y9" s="1"/>
      <c r="Z9" s="1"/>
    </row>
    <row r="10" spans="1:26" x14ac:dyDescent="0.25">
      <c r="H10" s="1"/>
      <c r="I10" s="1"/>
      <c r="J10" s="1"/>
      <c r="K10" s="1"/>
      <c r="L10" s="1"/>
      <c r="M10" s="1"/>
      <c r="N10" s="1"/>
      <c r="O10" s="1"/>
      <c r="P10" s="1"/>
      <c r="Q10" s="1"/>
      <c r="R10" s="1"/>
      <c r="S10" s="1"/>
      <c r="T10" s="1"/>
      <c r="U10" s="1"/>
      <c r="V10" s="1"/>
      <c r="W10" s="1"/>
      <c r="X10" s="1"/>
      <c r="Y10" s="1"/>
      <c r="Z10" s="1"/>
    </row>
    <row r="11" spans="1:26" x14ac:dyDescent="0.25">
      <c r="H11" s="1"/>
      <c r="I11" s="1"/>
      <c r="J11" s="1"/>
      <c r="K11" s="1"/>
      <c r="L11" s="1"/>
      <c r="M11" s="1"/>
      <c r="N11" s="1"/>
      <c r="O11" s="1"/>
      <c r="P11" s="1"/>
      <c r="Q11" s="1"/>
      <c r="R11" s="1"/>
      <c r="S11" s="1"/>
      <c r="T11" s="1"/>
      <c r="U11" s="1"/>
      <c r="V11" s="1"/>
      <c r="W11" s="1"/>
      <c r="X11" s="1"/>
      <c r="Y11" s="1"/>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1:26" x14ac:dyDescent="0.25">
      <c r="H17" s="1"/>
      <c r="I17" s="1"/>
      <c r="J17" s="1"/>
      <c r="K17" s="1"/>
      <c r="L17" s="1"/>
      <c r="M17" s="1"/>
      <c r="N17" s="1"/>
      <c r="O17" s="1"/>
      <c r="P17" s="1"/>
      <c r="Q17" s="1"/>
      <c r="R17" s="1"/>
      <c r="S17" s="1"/>
      <c r="T17" s="1"/>
      <c r="U17" s="1"/>
      <c r="V17" s="1"/>
      <c r="W17" s="1"/>
      <c r="X17" s="1"/>
      <c r="Y17" s="1"/>
      <c r="Z17" s="1"/>
    </row>
    <row r="18" spans="1:26" x14ac:dyDescent="0.25">
      <c r="H18" s="1"/>
      <c r="I18" s="1"/>
      <c r="J18" s="1"/>
      <c r="K18" s="1"/>
      <c r="L18" s="1"/>
      <c r="M18" s="1"/>
      <c r="N18" s="1"/>
      <c r="O18" s="1"/>
      <c r="P18" s="1"/>
      <c r="Q18" s="1"/>
      <c r="R18" s="1"/>
      <c r="S18" s="1"/>
      <c r="T18" s="1"/>
      <c r="U18" s="1"/>
      <c r="V18" s="1"/>
      <c r="W18" s="1"/>
      <c r="X18" s="1"/>
      <c r="Y18" s="1"/>
      <c r="Z18" s="1"/>
    </row>
    <row r="19" spans="1:26" x14ac:dyDescent="0.25">
      <c r="H19" s="1"/>
      <c r="I19" s="1"/>
      <c r="J19" s="1"/>
      <c r="K19" s="1"/>
      <c r="L19" s="1"/>
      <c r="M19" s="1"/>
      <c r="N19" s="1"/>
      <c r="O19" s="1"/>
      <c r="P19" s="1"/>
      <c r="Q19" s="1"/>
      <c r="R19" s="1"/>
      <c r="S19" s="1"/>
      <c r="T19" s="1"/>
      <c r="U19" s="1"/>
      <c r="V19" s="1"/>
      <c r="W19" s="1"/>
      <c r="X19" s="1"/>
      <c r="Y19" s="1"/>
      <c r="Z19" s="1"/>
    </row>
    <row r="20" spans="1:26" x14ac:dyDescent="0.25">
      <c r="H20" s="1"/>
      <c r="I20" s="1"/>
      <c r="J20" s="1"/>
      <c r="K20" s="1"/>
      <c r="L20" s="1"/>
      <c r="M20" s="1"/>
      <c r="N20" s="1"/>
      <c r="O20" s="1"/>
      <c r="P20" s="1"/>
      <c r="Q20" s="1"/>
      <c r="R20" s="1"/>
      <c r="S20" s="1"/>
      <c r="T20" s="1"/>
      <c r="U20" s="1"/>
      <c r="V20" s="1"/>
      <c r="W20" s="1"/>
      <c r="X20" s="1"/>
      <c r="Y20" s="1"/>
      <c r="Z20" s="1"/>
    </row>
    <row r="21" spans="1:26" x14ac:dyDescent="0.25">
      <c r="H21" s="1"/>
      <c r="I21" s="1"/>
      <c r="J21" s="1"/>
      <c r="K21" s="1"/>
      <c r="L21" s="1"/>
      <c r="M21" s="1"/>
      <c r="N21" s="1"/>
      <c r="O21" s="1"/>
      <c r="P21" s="1"/>
      <c r="Q21" s="1"/>
      <c r="R21" s="1"/>
      <c r="S21" s="1"/>
      <c r="T21" s="1"/>
      <c r="U21" s="1"/>
      <c r="V21" s="1"/>
      <c r="W21" s="1"/>
      <c r="X21" s="1"/>
      <c r="Y21" s="1"/>
      <c r="Z21" s="1"/>
    </row>
    <row r="22" spans="1:26" x14ac:dyDescent="0.25">
      <c r="H22" s="1"/>
      <c r="I22" s="1"/>
      <c r="J22" s="1"/>
      <c r="K22" s="1"/>
      <c r="L22" s="1"/>
      <c r="M22" s="1"/>
      <c r="N22" s="1"/>
      <c r="O22" s="1"/>
      <c r="P22" s="1"/>
      <c r="Q22" s="1"/>
      <c r="R22" s="1"/>
      <c r="S22" s="1"/>
      <c r="T22" s="1"/>
      <c r="U22" s="1"/>
      <c r="V22" s="1"/>
      <c r="W22" s="1"/>
      <c r="X22" s="1"/>
      <c r="Y22" s="1"/>
      <c r="Z22" s="1"/>
    </row>
    <row r="23" spans="1:26" x14ac:dyDescent="0.25">
      <c r="H23" s="1"/>
      <c r="I23" s="1"/>
      <c r="J23" s="1"/>
      <c r="K23" s="1"/>
      <c r="L23" s="1"/>
      <c r="M23" s="1"/>
      <c r="N23" s="1"/>
      <c r="O23" s="1"/>
      <c r="P23" s="1"/>
      <c r="Q23" s="1"/>
      <c r="R23" s="1"/>
      <c r="S23" s="1"/>
      <c r="T23" s="1"/>
      <c r="U23" s="1"/>
      <c r="V23" s="1"/>
      <c r="W23" s="1"/>
      <c r="X23" s="1"/>
      <c r="Y23" s="1"/>
      <c r="Z23" s="1"/>
    </row>
    <row r="24" spans="1:26" x14ac:dyDescent="0.25">
      <c r="H24" s="1"/>
      <c r="I24" s="1"/>
      <c r="J24" s="1"/>
      <c r="K24" s="1"/>
      <c r="L24" s="1"/>
      <c r="M24" s="1"/>
      <c r="N24" s="1"/>
      <c r="O24" s="1"/>
      <c r="P24" s="1"/>
      <c r="Q24" s="1"/>
      <c r="R24" s="1"/>
      <c r="S24" s="1"/>
      <c r="T24" s="1"/>
      <c r="U24" s="1"/>
      <c r="V24" s="1"/>
      <c r="W24" s="1"/>
      <c r="X24" s="1"/>
      <c r="Y24" s="1"/>
      <c r="Z24" s="1"/>
    </row>
    <row r="25" spans="1:26" x14ac:dyDescent="0.25">
      <c r="H25" s="1"/>
      <c r="I25" s="1"/>
      <c r="J25" s="1"/>
      <c r="K25" s="1"/>
      <c r="L25" s="1"/>
      <c r="M25" s="1"/>
      <c r="N25" s="1"/>
      <c r="O25" s="1"/>
      <c r="P25" s="1"/>
      <c r="Q25" s="1"/>
      <c r="R25" s="1"/>
      <c r="S25" s="1"/>
      <c r="T25" s="1"/>
      <c r="U25" s="1"/>
      <c r="V25" s="1"/>
      <c r="W25" s="1"/>
      <c r="X25" s="1"/>
      <c r="Y25" s="1"/>
      <c r="Z25" s="1"/>
    </row>
    <row r="26" spans="1:26" x14ac:dyDescent="0.25">
      <c r="H26" s="1"/>
      <c r="I26" s="1"/>
      <c r="J26" s="1"/>
      <c r="K26" s="1"/>
      <c r="L26" s="1"/>
      <c r="M26" s="1"/>
      <c r="N26" s="1"/>
      <c r="O26" s="1"/>
      <c r="P26" s="1"/>
      <c r="Q26" s="1"/>
      <c r="R26" s="1"/>
      <c r="S26" s="1"/>
      <c r="T26" s="1"/>
      <c r="U26" s="1"/>
      <c r="V26" s="1"/>
      <c r="W26" s="1"/>
      <c r="X26" s="1"/>
      <c r="Y26" s="1"/>
      <c r="Z26" s="1"/>
    </row>
    <row r="27" spans="1:26" x14ac:dyDescent="0.25">
      <c r="H27" s="1"/>
      <c r="I27" s="1"/>
      <c r="J27" s="1"/>
      <c r="K27" s="1"/>
      <c r="L27" s="1"/>
      <c r="M27" s="1"/>
      <c r="N27" s="1"/>
      <c r="O27" s="1"/>
      <c r="P27" s="1"/>
      <c r="Q27" s="1"/>
      <c r="R27" s="1"/>
      <c r="S27" s="1"/>
      <c r="T27" s="1"/>
      <c r="U27" s="1"/>
      <c r="V27" s="1"/>
      <c r="W27" s="1"/>
      <c r="X27" s="1"/>
      <c r="Y27" s="1"/>
      <c r="Z27" s="1"/>
    </row>
    <row r="28" spans="1:26" x14ac:dyDescent="0.25">
      <c r="H28" s="1"/>
      <c r="I28" s="1"/>
      <c r="J28" s="1"/>
      <c r="K28" s="1"/>
      <c r="L28" s="1"/>
      <c r="M28" s="1"/>
      <c r="N28" s="1"/>
      <c r="O28" s="1"/>
      <c r="P28" s="1"/>
      <c r="Q28" s="1"/>
      <c r="R28" s="1"/>
      <c r="S28" s="1"/>
      <c r="T28" s="1"/>
      <c r="U28" s="1"/>
      <c r="V28" s="1"/>
      <c r="W28" s="1"/>
      <c r="X28" s="1"/>
      <c r="Y28" s="1"/>
      <c r="Z28" s="1"/>
    </row>
    <row r="29" spans="1:26" x14ac:dyDescent="0.25">
      <c r="H29" s="1"/>
      <c r="I29" s="1"/>
      <c r="J29" s="1"/>
      <c r="K29" s="1"/>
      <c r="L29" s="1"/>
      <c r="M29" s="1"/>
      <c r="N29" s="1"/>
      <c r="O29" s="1"/>
      <c r="P29" s="1"/>
      <c r="Q29" s="1"/>
      <c r="R29" s="1"/>
      <c r="S29" s="1"/>
      <c r="T29" s="1"/>
      <c r="U29" s="1"/>
      <c r="V29" s="1"/>
      <c r="W29" s="1"/>
      <c r="X29" s="1"/>
      <c r="Y29" s="1"/>
      <c r="Z29" s="1"/>
    </row>
    <row r="30" spans="1:26" x14ac:dyDescent="0.25">
      <c r="H30" s="1"/>
      <c r="I30" s="1"/>
      <c r="J30" s="1"/>
      <c r="K30" s="1"/>
      <c r="L30" s="1"/>
      <c r="M30" s="1"/>
      <c r="N30" s="1"/>
      <c r="O30" s="1"/>
      <c r="P30" s="1"/>
      <c r="Q30" s="1"/>
      <c r="R30" s="1"/>
      <c r="S30" s="1"/>
      <c r="T30" s="1"/>
      <c r="U30" s="1"/>
      <c r="V30" s="1"/>
      <c r="W30" s="1"/>
      <c r="X30" s="1"/>
      <c r="Y30" s="1"/>
      <c r="Z30" s="1"/>
    </row>
    <row r="31" spans="1:26" x14ac:dyDescent="0.25">
      <c r="H31" s="1"/>
      <c r="I31" s="1"/>
      <c r="J31" s="1"/>
      <c r="K31" s="1"/>
      <c r="L31" s="1"/>
      <c r="M31" s="1"/>
      <c r="N31" s="1"/>
      <c r="O31" s="1"/>
      <c r="P31" s="1"/>
      <c r="Q31" s="1"/>
      <c r="R31" s="1"/>
      <c r="S31" s="1"/>
      <c r="T31" s="1"/>
      <c r="U31" s="1"/>
      <c r="V31" s="1"/>
      <c r="W31" s="1"/>
      <c r="X31" s="1"/>
      <c r="Y31" s="1"/>
      <c r="Z31" s="1"/>
    </row>
    <row r="32" spans="1:26" x14ac:dyDescent="0.25">
      <c r="A32" s="54"/>
      <c r="B32" s="54"/>
      <c r="C32" s="54"/>
      <c r="D32" s="54"/>
      <c r="E32" s="54"/>
      <c r="F32" s="54"/>
      <c r="G32" s="54"/>
    </row>
  </sheetData>
  <mergeCells count="1">
    <mergeCell ref="A32:G32"/>
  </mergeCells>
  <phoneticPr fontId="1" type="noConversion"/>
  <conditionalFormatting sqref="K2:K31">
    <cfRule type="colorScale" priority="4">
      <colorScale>
        <cfvo type="min"/>
        <cfvo type="percentile" val="50"/>
        <cfvo type="max"/>
        <color rgb="FFF8696B"/>
        <color rgb="FFFFEB84"/>
        <color rgb="FF63BE7B"/>
      </colorScale>
    </cfRule>
  </conditionalFormatting>
  <conditionalFormatting sqref="J2:J31">
    <cfRule type="colorScale" priority="3">
      <colorScale>
        <cfvo type="min"/>
        <cfvo type="percentile" val="50"/>
        <cfvo type="max"/>
        <color rgb="FFF8696B"/>
        <color rgb="FFFFEB84"/>
        <color rgb="FF63BE7B"/>
      </colorScale>
    </cfRule>
  </conditionalFormatting>
  <conditionalFormatting sqref="I2:I31">
    <cfRule type="colorScale" priority="2">
      <colorScale>
        <cfvo type="min"/>
        <cfvo type="percentile" val="50"/>
        <cfvo type="max"/>
        <color rgb="FFF8696B"/>
        <color rgb="FFFFEB84"/>
        <color rgb="FF63BE7B"/>
      </colorScale>
    </cfRule>
  </conditionalFormatting>
  <conditionalFormatting sqref="H2:H3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A17FCF1F-F109-4560-AC5A-D9B84D78119F}">
          <x14:formula1>
            <xm:f>Contents!$A$2:$A$18</xm:f>
          </x14:formula1>
          <xm:sqref>D2:F31</xm:sqref>
        </x14:dataValidation>
        <x14:dataValidation type="list" allowBlank="1" showInputMessage="1" showErrorMessage="1" xr:uid="{BCCA51B4-7D2B-4B83-8F89-C5C6AE1685A1}">
          <x14:formula1>
            <xm:f>Contents!$C$2:$C$8</xm:f>
          </x14:formula1>
          <xm:sqref>G2:G31</xm:sqref>
        </x14:dataValidation>
        <x14:dataValidation type="list" allowBlank="1" showInputMessage="1" showErrorMessage="1" xr:uid="{95AC7282-1AE2-4720-988A-B61FA1294866}">
          <x14:formula1>
            <xm:f>Contents!$D$2:$D$28</xm:f>
          </x14:formula1>
          <xm:sqref>B2:B31</xm:sqref>
        </x14:dataValidation>
        <x14:dataValidation type="list" allowBlank="1" showInputMessage="1" showErrorMessage="1" xr:uid="{CF0537F1-5D83-4C8A-AB55-7A12224FF492}">
          <x14:formula1>
            <xm:f>Contents!$J$2:$J$88</xm:f>
          </x14:formula1>
          <xm:sqref>L2:M31</xm:sqref>
        </x14:dataValidation>
        <x14:dataValidation type="list" allowBlank="1" showInputMessage="1" showErrorMessage="1" xr:uid="{9B81CA22-CA37-4E69-8E13-F62C69858E14}">
          <x14:formula1>
            <xm:f>Contents!$I$2:$I$4</xm:f>
          </x14:formula1>
          <xm:sqref>Y2:Y31</xm:sqref>
        </x14:dataValidation>
        <x14:dataValidation type="list" allowBlank="1" showInputMessage="1" showErrorMessage="1" xr:uid="{E08A1786-F422-4C0E-9E1F-5AD0E2A0B7F8}">
          <x14:formula1>
            <xm:f>Contents!$G$2:$G$9</xm:f>
          </x14:formula1>
          <xm:sqref>X2:X31</xm:sqref>
        </x14:dataValidation>
        <x14:dataValidation type="list" allowBlank="1" showInputMessage="1" showErrorMessage="1" xr:uid="{81774987-0F66-408C-8CB5-0E3AA9315360}">
          <x14:formula1>
            <xm:f>Contents!$L$2:$L$21</xm:f>
          </x14:formula1>
          <xm:sqref>S2:U31</xm:sqref>
        </x14:dataValidation>
        <x14:dataValidation type="list" allowBlank="1" showInputMessage="1" showErrorMessage="1" xr:uid="{1B4827F5-85E0-4AD3-B971-7D184C2FB2AF}">
          <x14:formula1>
            <xm:f>Contents!$K$2:$K$59</xm:f>
          </x14:formula1>
          <xm:sqref>N2:R7 N9:R31 R8 N8:O8</xm:sqref>
        </x14:dataValidation>
        <x14:dataValidation type="list" allowBlank="1" showInputMessage="1" showErrorMessage="1" xr:uid="{5626D797-8AE0-4F2E-9FD5-8799884C347C}">
          <x14:formula1>
            <xm:f>Contents!$M$2:$M$17</xm:f>
          </x14:formula1>
          <xm:sqref>V2:V31</xm:sqref>
        </x14:dataValidation>
        <x14:dataValidation type="list" allowBlank="1" showInputMessage="1" showErrorMessage="1" xr:uid="{12F05FFF-EE5F-466B-9CA0-4BC8CBF96C59}">
          <x14:formula1>
            <xm:f>Contents!$H$2:$H$22</xm:f>
          </x14:formula1>
          <xm:sqref>W2:W31</xm:sqref>
        </x14:dataValidation>
        <x14:dataValidation type="list" allowBlank="1" showInputMessage="1" showErrorMessage="1" xr:uid="{31764FA2-F371-4605-AED8-F4CDC097DBA1}">
          <x14:formula1>
            <xm:f>Contents!$N$2:$N$5</xm:f>
          </x14:formula1>
          <xm:sqref>Z2:Z31</xm:sqref>
        </x14:dataValidation>
        <x14:dataValidation type="list" allowBlank="1" showInputMessage="1" showErrorMessage="1" xr:uid="{53A5345E-2669-4A8F-AE95-D4D0E903EEAB}">
          <x14:formula1>
            <xm:f>Contents!$F$2:$F$14</xm:f>
          </x14:formula1>
          <xm:sqref>C2:C31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DD7FF-8892-4B3D-BD4D-D7D0385D0FE6}">
  <sheetPr codeName="Sheet8">
    <tabColor theme="9"/>
  </sheetPr>
  <dimension ref="A1:Z32"/>
  <sheetViews>
    <sheetView topLeftCell="K1" zoomScaleNormal="100" workbookViewId="0">
      <selection activeCell="Z1" sqref="Z1"/>
    </sheetView>
  </sheetViews>
  <sheetFormatPr defaultRowHeight="15" x14ac:dyDescent="0.25"/>
  <cols>
    <col min="1" max="1" width="31.42578125" bestFit="1" customWidth="1"/>
    <col min="2" max="3" width="19.85546875" bestFit="1" customWidth="1"/>
    <col min="4" max="4" width="18.5703125" bestFit="1" customWidth="1"/>
    <col min="5" max="5" width="13.85546875" bestFit="1" customWidth="1"/>
    <col min="8" max="8" width="9.42578125" bestFit="1" customWidth="1"/>
    <col min="9" max="9" width="15.28515625" bestFit="1" customWidth="1"/>
    <col min="10" max="10" width="23.42578125" bestFit="1" customWidth="1"/>
    <col min="11" max="11" width="22.5703125" bestFit="1" customWidth="1"/>
    <col min="12" max="12" width="17.140625" bestFit="1" customWidth="1"/>
    <col min="13" max="13" width="16.140625" bestFit="1" customWidth="1"/>
    <col min="22" max="22" width="21.7109375" bestFit="1" customWidth="1"/>
    <col min="23" max="23" width="22.140625" bestFit="1" customWidth="1"/>
    <col min="24" max="24" width="17.5703125" bestFit="1" customWidth="1"/>
    <col min="25" max="25" width="15.710937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329</v>
      </c>
      <c r="V1" s="1" t="s">
        <v>276</v>
      </c>
      <c r="W1" s="1" t="s">
        <v>106</v>
      </c>
      <c r="X1" s="1" t="s">
        <v>107</v>
      </c>
      <c r="Y1" s="1" t="s">
        <v>108</v>
      </c>
      <c r="Z1" s="1" t="s">
        <v>421</v>
      </c>
    </row>
    <row r="2" spans="1:26" x14ac:dyDescent="0.25">
      <c r="H2" s="1"/>
      <c r="I2" s="1"/>
      <c r="J2" s="1"/>
      <c r="K2" s="1"/>
      <c r="L2" s="1"/>
      <c r="M2" s="1"/>
      <c r="N2" s="1"/>
      <c r="O2" s="1"/>
      <c r="P2" s="1"/>
      <c r="Q2" s="1"/>
      <c r="R2" s="1"/>
      <c r="S2" s="1"/>
      <c r="T2" s="1"/>
      <c r="U2" s="1"/>
      <c r="V2" s="1"/>
      <c r="W2" s="1"/>
      <c r="X2" s="1"/>
      <c r="Y2" s="1"/>
      <c r="Z2" s="1"/>
    </row>
    <row r="3" spans="1:26" x14ac:dyDescent="0.25">
      <c r="H3" s="1"/>
      <c r="I3" s="1"/>
      <c r="J3" s="1"/>
      <c r="K3" s="1"/>
      <c r="L3" s="1"/>
      <c r="M3" s="1"/>
      <c r="N3" s="1"/>
      <c r="O3" s="1"/>
      <c r="P3" s="1"/>
      <c r="Q3" s="1"/>
      <c r="R3" s="1"/>
      <c r="S3" s="1"/>
      <c r="T3" s="1"/>
      <c r="U3" s="1"/>
      <c r="V3" s="1"/>
      <c r="W3" s="1"/>
      <c r="X3" s="1"/>
      <c r="Y3" s="1"/>
      <c r="Z3" s="1"/>
    </row>
    <row r="4" spans="1:26" x14ac:dyDescent="0.25">
      <c r="H4" s="1"/>
      <c r="I4" s="1"/>
      <c r="J4" s="1"/>
      <c r="K4" s="1"/>
      <c r="L4" s="1"/>
      <c r="M4" s="1"/>
      <c r="N4" s="1"/>
      <c r="O4" s="1"/>
      <c r="P4" s="1"/>
      <c r="Q4" s="1"/>
      <c r="R4" s="1"/>
      <c r="S4" s="1"/>
      <c r="T4" s="1"/>
      <c r="U4" s="1"/>
      <c r="V4" s="1"/>
      <c r="W4" s="1"/>
      <c r="X4" s="1"/>
      <c r="Y4" s="1"/>
      <c r="Z4" s="1"/>
    </row>
    <row r="5" spans="1:26" x14ac:dyDescent="0.25">
      <c r="H5" s="1"/>
      <c r="I5" s="1"/>
      <c r="J5" s="1"/>
      <c r="K5" s="1"/>
      <c r="L5" s="1"/>
      <c r="M5" s="1"/>
      <c r="N5" s="1"/>
      <c r="O5" s="1"/>
      <c r="P5" s="1"/>
      <c r="Q5" s="1"/>
      <c r="R5" s="1"/>
      <c r="S5" s="1"/>
      <c r="T5" s="1"/>
      <c r="U5" s="1"/>
      <c r="V5" s="1"/>
      <c r="W5" s="1"/>
      <c r="X5" s="1"/>
      <c r="Y5" s="1"/>
      <c r="Z5" s="1"/>
    </row>
    <row r="6" spans="1:26" x14ac:dyDescent="0.25">
      <c r="H6" s="1"/>
      <c r="I6" s="1"/>
      <c r="J6" s="1"/>
      <c r="K6" s="1"/>
      <c r="L6" s="1"/>
      <c r="M6" s="1"/>
      <c r="N6" s="1"/>
      <c r="O6" s="1"/>
      <c r="P6" s="1"/>
      <c r="Q6" s="1"/>
      <c r="R6" s="1"/>
      <c r="S6" s="1"/>
      <c r="T6" s="1"/>
      <c r="U6" s="1"/>
      <c r="V6" s="1"/>
      <c r="W6" s="1"/>
      <c r="X6" s="1"/>
      <c r="Y6" s="1"/>
      <c r="Z6" s="1"/>
    </row>
    <row r="7" spans="1:26" x14ac:dyDescent="0.25">
      <c r="H7" s="1"/>
      <c r="I7" s="1"/>
      <c r="J7" s="1"/>
      <c r="K7" s="1"/>
      <c r="L7" s="1"/>
      <c r="M7" s="1"/>
      <c r="N7" s="1"/>
      <c r="O7" s="1"/>
      <c r="P7" s="1"/>
      <c r="Q7" s="1"/>
      <c r="R7" s="1"/>
      <c r="S7" s="1"/>
      <c r="T7" s="1"/>
      <c r="U7" s="1"/>
      <c r="V7" s="1"/>
      <c r="W7" s="1"/>
      <c r="X7" s="1"/>
      <c r="Y7" s="1"/>
      <c r="Z7" s="1"/>
    </row>
    <row r="8" spans="1:26" x14ac:dyDescent="0.25">
      <c r="H8" s="1"/>
      <c r="I8" s="1"/>
      <c r="J8" s="1"/>
      <c r="K8" s="1"/>
      <c r="L8" s="1"/>
      <c r="M8" s="1"/>
      <c r="N8" s="1"/>
      <c r="O8" s="1"/>
      <c r="P8" s="1"/>
      <c r="Q8" s="1"/>
      <c r="R8" s="1"/>
      <c r="S8" s="1"/>
      <c r="T8" s="1"/>
      <c r="U8" s="1"/>
      <c r="V8" s="1"/>
      <c r="W8" s="1"/>
      <c r="X8" s="1"/>
      <c r="Y8" s="1"/>
      <c r="Z8" s="1"/>
    </row>
    <row r="9" spans="1:26" x14ac:dyDescent="0.25">
      <c r="H9" s="1"/>
      <c r="I9" s="1"/>
      <c r="J9" s="1"/>
      <c r="K9" s="1"/>
      <c r="L9" s="1"/>
      <c r="M9" s="1"/>
      <c r="N9" s="1"/>
      <c r="O9" s="1"/>
      <c r="P9" s="1"/>
      <c r="Q9" s="1"/>
      <c r="R9" s="1"/>
      <c r="S9" s="1"/>
      <c r="T9" s="1"/>
      <c r="U9" s="1"/>
      <c r="V9" s="1"/>
      <c r="W9" s="1"/>
      <c r="X9" s="1"/>
      <c r="Y9" s="1"/>
      <c r="Z9" s="1"/>
    </row>
    <row r="10" spans="1:26" x14ac:dyDescent="0.25">
      <c r="H10" s="1"/>
      <c r="I10" s="1"/>
      <c r="J10" s="1"/>
      <c r="K10" s="1"/>
      <c r="L10" s="1"/>
      <c r="M10" s="1"/>
      <c r="N10" s="1"/>
      <c r="O10" s="1"/>
      <c r="P10" s="1"/>
      <c r="Q10" s="1"/>
      <c r="R10" s="1"/>
      <c r="S10" s="1"/>
      <c r="T10" s="1"/>
      <c r="U10" s="1"/>
      <c r="V10" s="1"/>
      <c r="W10" s="1"/>
      <c r="X10" s="1"/>
      <c r="Y10" s="1"/>
      <c r="Z10" s="1"/>
    </row>
    <row r="11" spans="1:26" x14ac:dyDescent="0.25">
      <c r="H11" s="1"/>
      <c r="I11" s="1"/>
      <c r="J11" s="1"/>
      <c r="K11" s="1"/>
      <c r="L11" s="1"/>
      <c r="M11" s="1"/>
      <c r="N11" s="1"/>
      <c r="O11" s="1"/>
      <c r="P11" s="1"/>
      <c r="Q11" s="1"/>
      <c r="R11" s="1"/>
      <c r="S11" s="1"/>
      <c r="T11" s="1"/>
      <c r="U11" s="1"/>
      <c r="V11" s="1"/>
      <c r="W11" s="1"/>
      <c r="X11" s="1"/>
      <c r="Y11" s="1"/>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1:26" x14ac:dyDescent="0.25">
      <c r="H17" s="1"/>
      <c r="I17" s="1"/>
      <c r="J17" s="1"/>
      <c r="K17" s="1"/>
      <c r="L17" s="1"/>
      <c r="M17" s="1"/>
      <c r="N17" s="1"/>
      <c r="O17" s="1"/>
      <c r="P17" s="1"/>
      <c r="Q17" s="1"/>
      <c r="R17" s="1"/>
      <c r="S17" s="1"/>
      <c r="T17" s="1"/>
      <c r="U17" s="1"/>
      <c r="V17" s="1"/>
      <c r="W17" s="1"/>
      <c r="X17" s="1"/>
      <c r="Y17" s="1"/>
      <c r="Z17" s="1"/>
    </row>
    <row r="18" spans="1:26" x14ac:dyDescent="0.25">
      <c r="H18" s="1"/>
      <c r="I18" s="1"/>
      <c r="J18" s="1"/>
      <c r="K18" s="1"/>
      <c r="L18" s="1"/>
      <c r="M18" s="1"/>
      <c r="N18" s="1"/>
      <c r="O18" s="1"/>
      <c r="P18" s="1"/>
      <c r="Q18" s="1"/>
      <c r="R18" s="1"/>
      <c r="S18" s="1"/>
      <c r="T18" s="1"/>
      <c r="U18" s="1"/>
      <c r="V18" s="1"/>
      <c r="W18" s="1"/>
      <c r="X18" s="1"/>
      <c r="Y18" s="1"/>
      <c r="Z18" s="1"/>
    </row>
    <row r="19" spans="1:26" x14ac:dyDescent="0.25">
      <c r="H19" s="1"/>
      <c r="I19" s="1"/>
      <c r="J19" s="1"/>
      <c r="K19" s="1"/>
      <c r="L19" s="1"/>
      <c r="M19" s="1"/>
      <c r="N19" s="1"/>
      <c r="O19" s="1"/>
      <c r="P19" s="1"/>
      <c r="Q19" s="1"/>
      <c r="R19" s="1"/>
      <c r="S19" s="1"/>
      <c r="T19" s="1"/>
      <c r="U19" s="1"/>
      <c r="V19" s="1"/>
      <c r="W19" s="1"/>
      <c r="X19" s="1"/>
      <c r="Y19" s="1"/>
      <c r="Z19" s="1"/>
    </row>
    <row r="20" spans="1:26" x14ac:dyDescent="0.25">
      <c r="H20" s="1"/>
      <c r="I20" s="1"/>
      <c r="J20" s="1"/>
      <c r="K20" s="1"/>
      <c r="L20" s="1"/>
      <c r="M20" s="1"/>
      <c r="N20" s="1"/>
      <c r="O20" s="1"/>
      <c r="P20" s="1"/>
      <c r="Q20" s="1"/>
      <c r="R20" s="1"/>
      <c r="S20" s="1"/>
      <c r="T20" s="1"/>
      <c r="U20" s="1"/>
      <c r="V20" s="1"/>
      <c r="W20" s="1"/>
      <c r="X20" s="1"/>
      <c r="Y20" s="1"/>
      <c r="Z20" s="1"/>
    </row>
    <row r="21" spans="1:26" x14ac:dyDescent="0.25">
      <c r="H21" s="1"/>
      <c r="I21" s="1"/>
      <c r="J21" s="1"/>
      <c r="K21" s="1"/>
      <c r="L21" s="1"/>
      <c r="M21" s="1"/>
      <c r="N21" s="1"/>
      <c r="O21" s="1"/>
      <c r="P21" s="1"/>
      <c r="Q21" s="1"/>
      <c r="R21" s="1"/>
      <c r="S21" s="1"/>
      <c r="T21" s="1"/>
      <c r="U21" s="1"/>
      <c r="V21" s="1"/>
      <c r="W21" s="1"/>
      <c r="X21" s="1"/>
      <c r="Y21" s="1"/>
      <c r="Z21" s="1"/>
    </row>
    <row r="22" spans="1:26" x14ac:dyDescent="0.25">
      <c r="H22" s="1"/>
      <c r="I22" s="1"/>
      <c r="J22" s="1"/>
      <c r="K22" s="1"/>
      <c r="L22" s="1"/>
      <c r="M22" s="1"/>
      <c r="N22" s="1"/>
      <c r="O22" s="1"/>
      <c r="P22" s="1"/>
      <c r="Q22" s="1"/>
      <c r="R22" s="1"/>
      <c r="S22" s="1"/>
      <c r="T22" s="1"/>
      <c r="U22" s="1"/>
      <c r="V22" s="1"/>
      <c r="W22" s="1"/>
      <c r="X22" s="1"/>
      <c r="Y22" s="1"/>
      <c r="Z22" s="1"/>
    </row>
    <row r="23" spans="1:26" x14ac:dyDescent="0.25">
      <c r="H23" s="1"/>
      <c r="I23" s="1"/>
      <c r="J23" s="1"/>
      <c r="K23" s="1"/>
      <c r="L23" s="1"/>
      <c r="M23" s="1"/>
      <c r="N23" s="1"/>
      <c r="O23" s="1"/>
      <c r="P23" s="1"/>
      <c r="Q23" s="1"/>
      <c r="R23" s="1"/>
      <c r="S23" s="1"/>
      <c r="T23" s="1"/>
      <c r="U23" s="1"/>
      <c r="V23" s="1"/>
      <c r="W23" s="1"/>
      <c r="X23" s="1"/>
      <c r="Y23" s="1"/>
      <c r="Z23" s="1"/>
    </row>
    <row r="24" spans="1:26" x14ac:dyDescent="0.25">
      <c r="H24" s="1"/>
      <c r="I24" s="1"/>
      <c r="J24" s="1"/>
      <c r="K24" s="1"/>
      <c r="L24" s="1"/>
      <c r="M24" s="1"/>
      <c r="N24" s="1"/>
      <c r="O24" s="1"/>
      <c r="P24" s="1"/>
      <c r="Q24" s="1"/>
      <c r="R24" s="1"/>
      <c r="S24" s="1"/>
      <c r="T24" s="1"/>
      <c r="U24" s="1"/>
      <c r="V24" s="1"/>
      <c r="W24" s="1"/>
      <c r="X24" s="1"/>
      <c r="Y24" s="1"/>
      <c r="Z24" s="1"/>
    </row>
    <row r="25" spans="1:26" x14ac:dyDescent="0.25">
      <c r="H25" s="1"/>
      <c r="I25" s="1"/>
      <c r="J25" s="1"/>
      <c r="K25" s="1"/>
      <c r="L25" s="1"/>
      <c r="M25" s="1"/>
      <c r="N25" s="1"/>
      <c r="O25" s="1"/>
      <c r="P25" s="1"/>
      <c r="Q25" s="1"/>
      <c r="R25" s="1"/>
      <c r="S25" s="1"/>
      <c r="T25" s="1"/>
      <c r="U25" s="1"/>
      <c r="V25" s="1"/>
      <c r="W25" s="1"/>
      <c r="X25" s="1"/>
      <c r="Y25" s="1"/>
      <c r="Z25" s="1"/>
    </row>
    <row r="26" spans="1:26" x14ac:dyDescent="0.25">
      <c r="H26" s="1"/>
      <c r="I26" s="1"/>
      <c r="J26" s="1"/>
      <c r="K26" s="1"/>
      <c r="L26" s="1"/>
      <c r="M26" s="1"/>
      <c r="N26" s="1"/>
      <c r="O26" s="1"/>
      <c r="P26" s="1"/>
      <c r="Q26" s="1"/>
      <c r="R26" s="1"/>
      <c r="S26" s="1"/>
      <c r="T26" s="1"/>
      <c r="U26" s="1"/>
      <c r="V26" s="1"/>
      <c r="W26" s="1"/>
      <c r="X26" s="1"/>
      <c r="Y26" s="1"/>
      <c r="Z26" s="1"/>
    </row>
    <row r="27" spans="1:26" x14ac:dyDescent="0.25">
      <c r="H27" s="1"/>
      <c r="I27" s="1"/>
      <c r="J27" s="1"/>
      <c r="K27" s="1"/>
      <c r="L27" s="1"/>
      <c r="M27" s="1"/>
      <c r="N27" s="1"/>
      <c r="O27" s="1"/>
      <c r="P27" s="1"/>
      <c r="Q27" s="1"/>
      <c r="R27" s="1"/>
      <c r="S27" s="1"/>
      <c r="T27" s="1"/>
      <c r="U27" s="1"/>
      <c r="V27" s="1"/>
      <c r="W27" s="1"/>
      <c r="X27" s="1"/>
      <c r="Y27" s="1"/>
      <c r="Z27" s="1"/>
    </row>
    <row r="28" spans="1:26" x14ac:dyDescent="0.25">
      <c r="H28" s="1"/>
      <c r="I28" s="1"/>
      <c r="J28" s="1"/>
      <c r="K28" s="1"/>
      <c r="L28" s="1"/>
      <c r="M28" s="1"/>
      <c r="N28" s="1"/>
      <c r="O28" s="1"/>
      <c r="P28" s="1"/>
      <c r="Q28" s="1"/>
      <c r="R28" s="1"/>
      <c r="S28" s="1"/>
      <c r="T28" s="1"/>
      <c r="U28" s="1"/>
      <c r="V28" s="1"/>
      <c r="W28" s="1"/>
      <c r="X28" s="1"/>
      <c r="Y28" s="1"/>
      <c r="Z28" s="1"/>
    </row>
    <row r="29" spans="1:26" x14ac:dyDescent="0.25">
      <c r="H29" s="1"/>
      <c r="I29" s="1"/>
      <c r="J29" s="1"/>
      <c r="K29" s="1"/>
      <c r="L29" s="1"/>
      <c r="M29" s="1"/>
      <c r="N29" s="1"/>
      <c r="O29" s="1"/>
      <c r="P29" s="1"/>
      <c r="Q29" s="1"/>
      <c r="R29" s="1"/>
      <c r="S29" s="1"/>
      <c r="T29" s="1"/>
      <c r="U29" s="1"/>
      <c r="V29" s="1"/>
      <c r="W29" s="1"/>
      <c r="X29" s="1"/>
      <c r="Y29" s="1"/>
      <c r="Z29" s="1"/>
    </row>
    <row r="30" spans="1:26" x14ac:dyDescent="0.25">
      <c r="H30" s="1"/>
      <c r="I30" s="1"/>
      <c r="J30" s="1"/>
      <c r="K30" s="1"/>
      <c r="L30" s="1"/>
      <c r="M30" s="1"/>
      <c r="N30" s="1"/>
      <c r="O30" s="1"/>
      <c r="P30" s="1"/>
      <c r="Q30" s="1"/>
      <c r="R30" s="1"/>
      <c r="S30" s="1"/>
      <c r="T30" s="1"/>
      <c r="U30" s="1"/>
      <c r="V30" s="1"/>
      <c r="W30" s="1"/>
      <c r="X30" s="1"/>
      <c r="Y30" s="1"/>
      <c r="Z30" s="1"/>
    </row>
    <row r="31" spans="1:26" x14ac:dyDescent="0.25">
      <c r="H31" s="1"/>
      <c r="I31" s="1"/>
      <c r="J31" s="1"/>
      <c r="K31" s="1"/>
      <c r="L31" s="1"/>
      <c r="M31" s="1"/>
      <c r="N31" s="1"/>
      <c r="O31" s="1"/>
      <c r="P31" s="1"/>
      <c r="Q31" s="1"/>
      <c r="R31" s="1"/>
      <c r="S31" s="1"/>
      <c r="T31" s="1"/>
      <c r="U31" s="1"/>
      <c r="V31" s="1"/>
      <c r="W31" s="1"/>
      <c r="X31" s="1"/>
      <c r="Y31" s="1"/>
      <c r="Z31" s="1"/>
    </row>
    <row r="32" spans="1:26" x14ac:dyDescent="0.25">
      <c r="A32" s="54"/>
      <c r="B32" s="54"/>
      <c r="C32" s="54"/>
      <c r="D32" s="54"/>
      <c r="E32" s="54"/>
      <c r="F32" s="54"/>
      <c r="G32" s="54"/>
    </row>
  </sheetData>
  <mergeCells count="1">
    <mergeCell ref="A32:G32"/>
  </mergeCells>
  <phoneticPr fontId="1" type="noConversion"/>
  <conditionalFormatting sqref="K2:K31">
    <cfRule type="colorScale" priority="4">
      <colorScale>
        <cfvo type="min"/>
        <cfvo type="percentile" val="50"/>
        <cfvo type="max"/>
        <color rgb="FFF8696B"/>
        <color rgb="FFFFEB84"/>
        <color rgb="FF63BE7B"/>
      </colorScale>
    </cfRule>
  </conditionalFormatting>
  <conditionalFormatting sqref="J2:J31">
    <cfRule type="colorScale" priority="3">
      <colorScale>
        <cfvo type="min"/>
        <cfvo type="percentile" val="50"/>
        <cfvo type="max"/>
        <color rgb="FFF8696B"/>
        <color rgb="FFFFEB84"/>
        <color rgb="FF63BE7B"/>
      </colorScale>
    </cfRule>
  </conditionalFormatting>
  <conditionalFormatting sqref="I2:I31">
    <cfRule type="colorScale" priority="2">
      <colorScale>
        <cfvo type="min"/>
        <cfvo type="percentile" val="50"/>
        <cfvo type="max"/>
        <color rgb="FFF8696B"/>
        <color rgb="FFFFEB84"/>
        <color rgb="FF63BE7B"/>
      </colorScale>
    </cfRule>
  </conditionalFormatting>
  <conditionalFormatting sqref="H2:H3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AA80CF3C-C0A2-4CBB-B10A-6E862776749F}">
          <x14:formula1>
            <xm:f>Contents!$A$2:$A$18</xm:f>
          </x14:formula1>
          <xm:sqref>D2:F31</xm:sqref>
        </x14:dataValidation>
        <x14:dataValidation type="list" allowBlank="1" showInputMessage="1" showErrorMessage="1" xr:uid="{9D2EB6F3-0411-4B4F-AF96-9CB72CD40BA6}">
          <x14:formula1>
            <xm:f>Contents!$C$2:$C$8</xm:f>
          </x14:formula1>
          <xm:sqref>G2:G31</xm:sqref>
        </x14:dataValidation>
        <x14:dataValidation type="list" allowBlank="1" showInputMessage="1" showErrorMessage="1" xr:uid="{1AE662EF-916B-44A0-A699-6E969A868298}">
          <x14:formula1>
            <xm:f>Contents!$D$2:$D$28</xm:f>
          </x14:formula1>
          <xm:sqref>B2:B31</xm:sqref>
        </x14:dataValidation>
        <x14:dataValidation type="list" allowBlank="1" showInputMessage="1" showErrorMessage="1" xr:uid="{8D8315CF-179B-4E88-9B87-9E2B814C7162}">
          <x14:formula1>
            <xm:f>Contents!$J$2:$J$88</xm:f>
          </x14:formula1>
          <xm:sqref>L2:M31</xm:sqref>
        </x14:dataValidation>
        <x14:dataValidation type="list" allowBlank="1" showInputMessage="1" showErrorMessage="1" xr:uid="{7F716CED-D343-476F-A64C-E171E3016A39}">
          <x14:formula1>
            <xm:f>Contents!$I$2:$I$4</xm:f>
          </x14:formula1>
          <xm:sqref>Y2:Y31</xm:sqref>
        </x14:dataValidation>
        <x14:dataValidation type="list" allowBlank="1" showInputMessage="1" showErrorMessage="1" xr:uid="{8507A340-EA53-43E0-B0BB-B53FBBD6613B}">
          <x14:formula1>
            <xm:f>Contents!$G$2:$G$9</xm:f>
          </x14:formula1>
          <xm:sqref>X2:X31</xm:sqref>
        </x14:dataValidation>
        <x14:dataValidation type="list" allowBlank="1" showInputMessage="1" showErrorMessage="1" xr:uid="{28D6378E-33F7-42A9-A579-60576CC1BBBE}">
          <x14:formula1>
            <xm:f>Contents!$L$2:$L$21</xm:f>
          </x14:formula1>
          <xm:sqref>S2:U31</xm:sqref>
        </x14:dataValidation>
        <x14:dataValidation type="list" allowBlank="1" showInputMessage="1" showErrorMessage="1" xr:uid="{C3A0B0B5-50BC-4F3D-AF28-BC08BFBB89DD}">
          <x14:formula1>
            <xm:f>Contents!$K$2:$K$59</xm:f>
          </x14:formula1>
          <xm:sqref>N2:R7 N9:R31 R8 N8:O8</xm:sqref>
        </x14:dataValidation>
        <x14:dataValidation type="list" allowBlank="1" showInputMessage="1" showErrorMessage="1" xr:uid="{30EE4BE4-E969-46EB-A8D3-4164EE0C9C75}">
          <x14:formula1>
            <xm:f>Contents!$M$2:$M$17</xm:f>
          </x14:formula1>
          <xm:sqref>V2:V31</xm:sqref>
        </x14:dataValidation>
        <x14:dataValidation type="list" allowBlank="1" showInputMessage="1" showErrorMessage="1" xr:uid="{0FF38AFE-2997-4B04-B449-C6E3DF4592D6}">
          <x14:formula1>
            <xm:f>Contents!$H$2:$H$22</xm:f>
          </x14:formula1>
          <xm:sqref>W2:W31</xm:sqref>
        </x14:dataValidation>
        <x14:dataValidation type="list" allowBlank="1" showInputMessage="1" showErrorMessage="1" xr:uid="{035BCEF0-F863-475D-A099-53EBD40F7E2B}">
          <x14:formula1>
            <xm:f>Contents!$N$2:$N$5</xm:f>
          </x14:formula1>
          <xm:sqref>Z2:Z31</xm:sqref>
        </x14:dataValidation>
        <x14:dataValidation type="list" allowBlank="1" showInputMessage="1" showErrorMessage="1" xr:uid="{C7C7C828-39EC-4668-BF17-66E94331B4A8}">
          <x14:formula1>
            <xm:f>Contents!$F$2:$F$14</xm:f>
          </x14:formula1>
          <xm:sqref>C2:C31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DEA8E-690F-4670-B606-58ECB4D622CF}">
  <sheetPr codeName="Sheet9">
    <tabColor theme="9"/>
  </sheetPr>
  <dimension ref="A1:Z32"/>
  <sheetViews>
    <sheetView topLeftCell="L1" workbookViewId="0">
      <selection activeCell="Z1" sqref="Z1"/>
    </sheetView>
  </sheetViews>
  <sheetFormatPr defaultRowHeight="15" x14ac:dyDescent="0.25"/>
  <cols>
    <col min="1" max="1" width="24.5703125" bestFit="1" customWidth="1"/>
    <col min="2" max="2" width="20.5703125" bestFit="1" customWidth="1"/>
    <col min="3" max="3" width="10.85546875" customWidth="1"/>
    <col min="4" max="4" width="18.5703125" bestFit="1" customWidth="1"/>
    <col min="5" max="5" width="13.5703125" bestFit="1" customWidth="1"/>
    <col min="10" max="10" width="23.42578125" bestFit="1" customWidth="1"/>
    <col min="11" max="11" width="22.5703125" bestFit="1" customWidth="1"/>
    <col min="12" max="12" width="22.42578125" bestFit="1" customWidth="1"/>
    <col min="13" max="13" width="20.140625" bestFit="1" customWidth="1"/>
    <col min="14" max="16" width="15.7109375" bestFit="1" customWidth="1"/>
    <col min="22" max="22" width="20.42578125" bestFit="1" customWidth="1"/>
    <col min="23" max="23" width="22.140625" bestFit="1" customWidth="1"/>
    <col min="24" max="24" width="17.570312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325</v>
      </c>
      <c r="V1" s="1" t="s">
        <v>276</v>
      </c>
      <c r="W1" s="1" t="s">
        <v>106</v>
      </c>
      <c r="X1" s="1" t="s">
        <v>107</v>
      </c>
      <c r="Y1" s="1" t="s">
        <v>108</v>
      </c>
      <c r="Z1" s="1" t="s">
        <v>421</v>
      </c>
    </row>
    <row r="2" spans="1:26" x14ac:dyDescent="0.25">
      <c r="H2" s="1"/>
      <c r="I2" s="1"/>
      <c r="J2" s="1"/>
      <c r="K2" s="1"/>
      <c r="L2" s="1"/>
      <c r="M2" s="1"/>
      <c r="N2" s="1"/>
      <c r="O2" s="1"/>
      <c r="P2" s="1"/>
      <c r="Q2" s="1"/>
      <c r="R2" s="1"/>
      <c r="S2" s="1"/>
      <c r="T2" s="1"/>
      <c r="U2" s="1"/>
      <c r="V2" s="1"/>
      <c r="W2" s="1"/>
      <c r="X2" s="1"/>
      <c r="Y2" s="1"/>
      <c r="Z2" s="1"/>
    </row>
    <row r="3" spans="1:26" x14ac:dyDescent="0.25">
      <c r="H3" s="1"/>
      <c r="I3" s="1"/>
      <c r="J3" s="1"/>
      <c r="K3" s="1"/>
      <c r="L3" s="1"/>
      <c r="M3" s="1"/>
      <c r="N3" s="1"/>
      <c r="O3" s="1"/>
      <c r="P3" s="1"/>
      <c r="Q3" s="1"/>
      <c r="R3" s="1"/>
      <c r="S3" s="1"/>
      <c r="T3" s="1"/>
      <c r="U3" s="1"/>
      <c r="V3" s="1"/>
      <c r="W3" s="1"/>
      <c r="X3" s="1"/>
      <c r="Y3" s="1"/>
      <c r="Z3" s="1"/>
    </row>
    <row r="4" spans="1:26" x14ac:dyDescent="0.25">
      <c r="H4" s="1"/>
      <c r="I4" s="1"/>
      <c r="J4" s="1"/>
      <c r="K4" s="1"/>
      <c r="L4" s="1"/>
      <c r="M4" s="1"/>
      <c r="N4" s="1"/>
      <c r="O4" s="1"/>
      <c r="P4" s="1"/>
      <c r="Q4" s="1"/>
      <c r="R4" s="1"/>
      <c r="S4" s="1"/>
      <c r="T4" s="1"/>
      <c r="U4" s="1"/>
      <c r="V4" s="1"/>
      <c r="W4" s="1"/>
      <c r="X4" s="1"/>
      <c r="Y4" s="1"/>
      <c r="Z4" s="1"/>
    </row>
    <row r="5" spans="1:26" x14ac:dyDescent="0.25">
      <c r="H5" s="1"/>
      <c r="I5" s="1"/>
      <c r="J5" s="1"/>
      <c r="K5" s="1"/>
      <c r="L5" s="1"/>
      <c r="M5" s="1"/>
      <c r="N5" s="1"/>
      <c r="O5" s="1"/>
      <c r="P5" s="1"/>
      <c r="Q5" s="1"/>
      <c r="R5" s="1"/>
      <c r="S5" s="1"/>
      <c r="T5" s="1"/>
      <c r="U5" s="1"/>
      <c r="V5" s="1"/>
      <c r="W5" s="1"/>
      <c r="X5" s="1"/>
      <c r="Y5" s="1"/>
      <c r="Z5" s="1"/>
    </row>
    <row r="6" spans="1:26" x14ac:dyDescent="0.25">
      <c r="H6" s="1"/>
      <c r="I6" s="1"/>
      <c r="J6" s="1"/>
      <c r="K6" s="1"/>
      <c r="L6" s="1"/>
      <c r="M6" s="1"/>
      <c r="N6" s="1"/>
      <c r="O6" s="1"/>
      <c r="P6" s="1"/>
      <c r="Q6" s="1"/>
      <c r="R6" s="1"/>
      <c r="S6" s="1"/>
      <c r="T6" s="1"/>
      <c r="U6" s="1"/>
      <c r="V6" s="1"/>
      <c r="W6" s="1"/>
      <c r="X6" s="1"/>
      <c r="Y6" s="1"/>
      <c r="Z6" s="1"/>
    </row>
    <row r="7" spans="1:26" x14ac:dyDescent="0.25">
      <c r="H7" s="1"/>
      <c r="I7" s="1"/>
      <c r="J7" s="1"/>
      <c r="K7" s="1"/>
      <c r="L7" s="1"/>
      <c r="M7" s="1"/>
      <c r="N7" s="1"/>
      <c r="O7" s="1"/>
      <c r="P7" s="1"/>
      <c r="Q7" s="1"/>
      <c r="R7" s="1"/>
      <c r="S7" s="1"/>
      <c r="T7" s="1"/>
      <c r="U7" s="1"/>
      <c r="V7" s="1"/>
      <c r="W7" s="1"/>
      <c r="X7" s="1"/>
      <c r="Y7" s="1"/>
      <c r="Z7" s="1"/>
    </row>
    <row r="8" spans="1:26" x14ac:dyDescent="0.25">
      <c r="H8" s="1"/>
      <c r="I8" s="1"/>
      <c r="J8" s="1"/>
      <c r="K8" s="1"/>
      <c r="L8" s="1"/>
      <c r="M8" s="1"/>
      <c r="N8" s="1"/>
      <c r="O8" s="1"/>
      <c r="P8" s="1"/>
      <c r="Q8" s="1"/>
      <c r="R8" s="1"/>
      <c r="S8" s="1"/>
      <c r="T8" s="1"/>
      <c r="U8" s="1"/>
      <c r="V8" s="1"/>
      <c r="W8" s="1"/>
      <c r="X8" s="1"/>
      <c r="Y8" s="1"/>
      <c r="Z8" s="1"/>
    </row>
    <row r="9" spans="1:26" x14ac:dyDescent="0.25">
      <c r="H9" s="1"/>
      <c r="I9" s="1"/>
      <c r="J9" s="1"/>
      <c r="K9" s="1"/>
      <c r="L9" s="1"/>
      <c r="M9" s="1"/>
      <c r="N9" s="1"/>
      <c r="O9" s="1"/>
      <c r="P9" s="1"/>
      <c r="Q9" s="1"/>
      <c r="R9" s="1"/>
      <c r="S9" s="1"/>
      <c r="T9" s="1"/>
      <c r="U9" s="1"/>
      <c r="V9" s="1"/>
      <c r="W9" s="1"/>
      <c r="X9" s="1"/>
      <c r="Y9" s="1"/>
      <c r="Z9" s="1"/>
    </row>
    <row r="10" spans="1:26" x14ac:dyDescent="0.25">
      <c r="H10" s="1"/>
      <c r="I10" s="1"/>
      <c r="J10" s="1"/>
      <c r="K10" s="1"/>
      <c r="L10" s="1"/>
      <c r="M10" s="1"/>
      <c r="N10" s="1"/>
      <c r="O10" s="1"/>
      <c r="P10" s="1"/>
      <c r="Q10" s="1"/>
      <c r="R10" s="1"/>
      <c r="S10" s="1"/>
      <c r="T10" s="1"/>
      <c r="U10" s="1"/>
      <c r="V10" s="1"/>
      <c r="W10" s="1"/>
      <c r="X10" s="1"/>
      <c r="Y10" s="1"/>
      <c r="Z10" s="1"/>
    </row>
    <row r="11" spans="1:26" x14ac:dyDescent="0.25">
      <c r="H11" s="1"/>
      <c r="I11" s="1"/>
      <c r="J11" s="1"/>
      <c r="K11" s="1"/>
      <c r="L11" s="1"/>
      <c r="M11" s="1"/>
      <c r="N11" s="1"/>
      <c r="O11" s="1"/>
      <c r="P11" s="1"/>
      <c r="Q11" s="1"/>
      <c r="R11" s="1"/>
      <c r="S11" s="1"/>
      <c r="T11" s="1"/>
      <c r="U11" s="1"/>
      <c r="V11" s="1"/>
      <c r="W11" s="1"/>
      <c r="X11" s="1"/>
      <c r="Y11" s="1"/>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1:26" x14ac:dyDescent="0.25">
      <c r="H17" s="1"/>
      <c r="I17" s="1"/>
      <c r="J17" s="1"/>
      <c r="K17" s="1"/>
      <c r="L17" s="1"/>
      <c r="M17" s="1"/>
      <c r="N17" s="1"/>
      <c r="O17" s="1"/>
      <c r="P17" s="1"/>
      <c r="Q17" s="1"/>
      <c r="R17" s="1"/>
      <c r="S17" s="1"/>
      <c r="T17" s="1"/>
      <c r="U17" s="1"/>
      <c r="V17" s="1"/>
      <c r="W17" s="1"/>
      <c r="X17" s="1"/>
      <c r="Y17" s="1"/>
      <c r="Z17" s="1"/>
    </row>
    <row r="18" spans="1:26" x14ac:dyDescent="0.25">
      <c r="H18" s="1"/>
      <c r="I18" s="1"/>
      <c r="J18" s="1"/>
      <c r="K18" s="1"/>
      <c r="L18" s="1"/>
      <c r="M18" s="1"/>
      <c r="N18" s="1"/>
      <c r="O18" s="1"/>
      <c r="P18" s="1"/>
      <c r="Q18" s="1"/>
      <c r="R18" s="1"/>
      <c r="S18" s="1"/>
      <c r="T18" s="1"/>
      <c r="U18" s="1"/>
      <c r="V18" s="1"/>
      <c r="W18" s="1"/>
      <c r="X18" s="1"/>
      <c r="Y18" s="1"/>
      <c r="Z18" s="1"/>
    </row>
    <row r="19" spans="1:26" x14ac:dyDescent="0.25">
      <c r="H19" s="1"/>
      <c r="I19" s="1"/>
      <c r="J19" s="1"/>
      <c r="K19" s="1"/>
      <c r="L19" s="1"/>
      <c r="M19" s="1"/>
      <c r="N19" s="1"/>
      <c r="O19" s="1"/>
      <c r="P19" s="1"/>
      <c r="Q19" s="1"/>
      <c r="R19" s="1"/>
      <c r="S19" s="1"/>
      <c r="T19" s="1"/>
      <c r="U19" s="1"/>
      <c r="V19" s="1"/>
      <c r="W19" s="1"/>
      <c r="X19" s="1"/>
      <c r="Y19" s="1"/>
      <c r="Z19" s="1"/>
    </row>
    <row r="20" spans="1:26" x14ac:dyDescent="0.25">
      <c r="H20" s="1"/>
      <c r="I20" s="1"/>
      <c r="J20" s="1"/>
      <c r="K20" s="1"/>
      <c r="L20" s="1"/>
      <c r="M20" s="1"/>
      <c r="N20" s="1"/>
      <c r="O20" s="1"/>
      <c r="P20" s="1"/>
      <c r="Q20" s="1"/>
      <c r="R20" s="1"/>
      <c r="S20" s="1"/>
      <c r="T20" s="1"/>
      <c r="U20" s="1"/>
      <c r="V20" s="1"/>
      <c r="W20" s="1"/>
      <c r="X20" s="1"/>
      <c r="Y20" s="1"/>
      <c r="Z20" s="1"/>
    </row>
    <row r="21" spans="1:26" x14ac:dyDescent="0.25">
      <c r="H21" s="1"/>
      <c r="I21" s="1"/>
      <c r="J21" s="1"/>
      <c r="K21" s="1"/>
      <c r="L21" s="1"/>
      <c r="M21" s="1"/>
      <c r="N21" s="1"/>
      <c r="O21" s="1"/>
      <c r="P21" s="1"/>
      <c r="Q21" s="1"/>
      <c r="R21" s="1"/>
      <c r="S21" s="1"/>
      <c r="T21" s="1"/>
      <c r="U21" s="1"/>
      <c r="V21" s="1"/>
      <c r="W21" s="1"/>
      <c r="X21" s="1"/>
      <c r="Y21" s="1"/>
      <c r="Z21" s="1"/>
    </row>
    <row r="22" spans="1:26" x14ac:dyDescent="0.25">
      <c r="H22" s="1"/>
      <c r="I22" s="1"/>
      <c r="J22" s="1"/>
      <c r="K22" s="1"/>
      <c r="L22" s="1"/>
      <c r="M22" s="1"/>
      <c r="N22" s="1"/>
      <c r="O22" s="1"/>
      <c r="P22" s="1"/>
      <c r="Q22" s="1"/>
      <c r="R22" s="1"/>
      <c r="S22" s="1"/>
      <c r="T22" s="1"/>
      <c r="U22" s="1"/>
      <c r="V22" s="1"/>
      <c r="W22" s="1"/>
      <c r="X22" s="1"/>
      <c r="Y22" s="1"/>
      <c r="Z22" s="1"/>
    </row>
    <row r="23" spans="1:26" x14ac:dyDescent="0.25">
      <c r="H23" s="1"/>
      <c r="I23" s="1"/>
      <c r="J23" s="1"/>
      <c r="K23" s="1"/>
      <c r="L23" s="1"/>
      <c r="M23" s="1"/>
      <c r="N23" s="1"/>
      <c r="O23" s="1"/>
      <c r="P23" s="1"/>
      <c r="Q23" s="1"/>
      <c r="R23" s="1"/>
      <c r="S23" s="1"/>
      <c r="T23" s="1"/>
      <c r="U23" s="1"/>
      <c r="V23" s="1"/>
      <c r="W23" s="1"/>
      <c r="X23" s="1"/>
      <c r="Y23" s="1"/>
      <c r="Z23" s="1"/>
    </row>
    <row r="24" spans="1:26" x14ac:dyDescent="0.25">
      <c r="H24" s="1"/>
      <c r="I24" s="1"/>
      <c r="J24" s="1"/>
      <c r="K24" s="1"/>
      <c r="L24" s="1"/>
      <c r="M24" s="1"/>
      <c r="N24" s="1"/>
      <c r="O24" s="1"/>
      <c r="P24" s="1"/>
      <c r="Q24" s="1"/>
      <c r="R24" s="1"/>
      <c r="S24" s="1"/>
      <c r="T24" s="1"/>
      <c r="U24" s="1"/>
      <c r="V24" s="1"/>
      <c r="W24" s="1"/>
      <c r="X24" s="1"/>
      <c r="Y24" s="1"/>
      <c r="Z24" s="1"/>
    </row>
    <row r="25" spans="1:26" x14ac:dyDescent="0.25">
      <c r="H25" s="1"/>
      <c r="I25" s="1"/>
      <c r="J25" s="1"/>
      <c r="K25" s="1"/>
      <c r="L25" s="1"/>
      <c r="M25" s="1"/>
      <c r="N25" s="1"/>
      <c r="O25" s="1"/>
      <c r="P25" s="1"/>
      <c r="Q25" s="1"/>
      <c r="R25" s="1"/>
      <c r="S25" s="1"/>
      <c r="T25" s="1"/>
      <c r="U25" s="1"/>
      <c r="V25" s="1"/>
      <c r="W25" s="1"/>
      <c r="X25" s="1"/>
      <c r="Y25" s="1"/>
      <c r="Z25" s="1"/>
    </row>
    <row r="26" spans="1:26" x14ac:dyDescent="0.25">
      <c r="H26" s="1"/>
      <c r="I26" s="1"/>
      <c r="J26" s="1"/>
      <c r="K26" s="1"/>
      <c r="L26" s="1"/>
      <c r="M26" s="1"/>
      <c r="N26" s="1"/>
      <c r="O26" s="1"/>
      <c r="P26" s="1"/>
      <c r="Q26" s="1"/>
      <c r="R26" s="1"/>
      <c r="S26" s="1"/>
      <c r="T26" s="1"/>
      <c r="U26" s="1"/>
      <c r="V26" s="1"/>
      <c r="W26" s="1"/>
      <c r="X26" s="1"/>
      <c r="Y26" s="1"/>
      <c r="Z26" s="1"/>
    </row>
    <row r="27" spans="1:26" x14ac:dyDescent="0.25">
      <c r="H27" s="1"/>
      <c r="I27" s="1"/>
      <c r="J27" s="1"/>
      <c r="K27" s="1"/>
      <c r="L27" s="1"/>
      <c r="M27" s="1"/>
      <c r="N27" s="1"/>
      <c r="O27" s="1"/>
      <c r="P27" s="1"/>
      <c r="Q27" s="1"/>
      <c r="R27" s="1"/>
      <c r="S27" s="1"/>
      <c r="T27" s="1"/>
      <c r="U27" s="1"/>
      <c r="V27" s="1"/>
      <c r="W27" s="1"/>
      <c r="X27" s="1"/>
      <c r="Y27" s="1"/>
      <c r="Z27" s="1"/>
    </row>
    <row r="28" spans="1:26" x14ac:dyDescent="0.25">
      <c r="H28" s="1"/>
      <c r="I28" s="1"/>
      <c r="J28" s="1"/>
      <c r="K28" s="1"/>
      <c r="L28" s="1"/>
      <c r="M28" s="1"/>
      <c r="N28" s="1"/>
      <c r="O28" s="1"/>
      <c r="P28" s="1"/>
      <c r="Q28" s="1"/>
      <c r="R28" s="1"/>
      <c r="S28" s="1"/>
      <c r="T28" s="1"/>
      <c r="U28" s="1"/>
      <c r="V28" s="1"/>
      <c r="W28" s="1"/>
      <c r="X28" s="1"/>
      <c r="Y28" s="1"/>
      <c r="Z28" s="1"/>
    </row>
    <row r="29" spans="1:26" x14ac:dyDescent="0.25">
      <c r="H29" s="1"/>
      <c r="I29" s="1"/>
      <c r="J29" s="1"/>
      <c r="K29" s="1"/>
      <c r="L29" s="1"/>
      <c r="M29" s="1"/>
      <c r="N29" s="1"/>
      <c r="O29" s="1"/>
      <c r="P29" s="1"/>
      <c r="Q29" s="1"/>
      <c r="R29" s="1"/>
      <c r="S29" s="1"/>
      <c r="T29" s="1"/>
      <c r="U29" s="1"/>
      <c r="V29" s="1"/>
      <c r="W29" s="1"/>
      <c r="X29" s="1"/>
      <c r="Y29" s="1"/>
      <c r="Z29" s="1"/>
    </row>
    <row r="30" spans="1:26" x14ac:dyDescent="0.25">
      <c r="H30" s="1"/>
      <c r="I30" s="1"/>
      <c r="J30" s="1"/>
      <c r="K30" s="1"/>
      <c r="L30" s="1"/>
      <c r="M30" s="1"/>
      <c r="N30" s="1"/>
      <c r="O30" s="1"/>
      <c r="P30" s="1"/>
      <c r="Q30" s="1"/>
      <c r="R30" s="1"/>
      <c r="S30" s="1"/>
      <c r="T30" s="1"/>
      <c r="U30" s="1"/>
      <c r="V30" s="1"/>
      <c r="W30" s="1"/>
      <c r="X30" s="1"/>
      <c r="Y30" s="1"/>
      <c r="Z30" s="1"/>
    </row>
    <row r="31" spans="1:26" x14ac:dyDescent="0.25">
      <c r="H31" s="1"/>
      <c r="I31" s="1"/>
      <c r="J31" s="1"/>
      <c r="K31" s="1"/>
      <c r="L31" s="1"/>
      <c r="M31" s="1"/>
      <c r="N31" s="1"/>
      <c r="O31" s="1"/>
      <c r="P31" s="1"/>
      <c r="Q31" s="1"/>
      <c r="R31" s="1"/>
      <c r="S31" s="1"/>
      <c r="T31" s="1"/>
      <c r="U31" s="1"/>
      <c r="V31" s="1"/>
      <c r="W31" s="1"/>
      <c r="X31" s="1"/>
      <c r="Y31" s="1"/>
      <c r="Z31" s="1"/>
    </row>
    <row r="32" spans="1:26" x14ac:dyDescent="0.25">
      <c r="A32" s="54"/>
      <c r="B32" s="54"/>
      <c r="C32" s="54"/>
      <c r="D32" s="54"/>
      <c r="E32" s="54"/>
      <c r="F32" s="54"/>
      <c r="G32" s="54"/>
    </row>
  </sheetData>
  <mergeCells count="1">
    <mergeCell ref="A32:G32"/>
  </mergeCells>
  <phoneticPr fontId="1" type="noConversion"/>
  <conditionalFormatting sqref="K2:K31">
    <cfRule type="colorScale" priority="4">
      <colorScale>
        <cfvo type="min"/>
        <cfvo type="percentile" val="50"/>
        <cfvo type="max"/>
        <color rgb="FFF8696B"/>
        <color rgb="FFFFEB84"/>
        <color rgb="FF63BE7B"/>
      </colorScale>
    </cfRule>
  </conditionalFormatting>
  <conditionalFormatting sqref="J2:J31">
    <cfRule type="colorScale" priority="3">
      <colorScale>
        <cfvo type="min"/>
        <cfvo type="percentile" val="50"/>
        <cfvo type="max"/>
        <color rgb="FFF8696B"/>
        <color rgb="FFFFEB84"/>
        <color rgb="FF63BE7B"/>
      </colorScale>
    </cfRule>
  </conditionalFormatting>
  <conditionalFormatting sqref="I2:I31">
    <cfRule type="colorScale" priority="2">
      <colorScale>
        <cfvo type="min"/>
        <cfvo type="percentile" val="50"/>
        <cfvo type="max"/>
        <color rgb="FFF8696B"/>
        <color rgb="FFFFEB84"/>
        <color rgb="FF63BE7B"/>
      </colorScale>
    </cfRule>
  </conditionalFormatting>
  <conditionalFormatting sqref="H2:H3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59145193-AC4B-43EF-BFB9-8E5429EFDB4D}">
          <x14:formula1>
            <xm:f>Contents!$A$2:$A$18</xm:f>
          </x14:formula1>
          <xm:sqref>D2:F31</xm:sqref>
        </x14:dataValidation>
        <x14:dataValidation type="list" allowBlank="1" showInputMessage="1" showErrorMessage="1" xr:uid="{5944365A-5E1A-47AE-BB96-E3D66B896EB7}">
          <x14:formula1>
            <xm:f>Contents!$C$2:$C$8</xm:f>
          </x14:formula1>
          <xm:sqref>G2:G31</xm:sqref>
        </x14:dataValidation>
        <x14:dataValidation type="list" allowBlank="1" showInputMessage="1" showErrorMessage="1" xr:uid="{1E6D777C-480D-4EB0-A207-7E3142AFCE89}">
          <x14:formula1>
            <xm:f>Contents!$D$2:$D$28</xm:f>
          </x14:formula1>
          <xm:sqref>B2:B31</xm:sqref>
        </x14:dataValidation>
        <x14:dataValidation type="list" allowBlank="1" showInputMessage="1" showErrorMessage="1" xr:uid="{DD084606-7611-4C33-AEDA-1A27D321DB00}">
          <x14:formula1>
            <xm:f>Contents!$J$2:$J$88</xm:f>
          </x14:formula1>
          <xm:sqref>L2:M31</xm:sqref>
        </x14:dataValidation>
        <x14:dataValidation type="list" allowBlank="1" showInputMessage="1" showErrorMessage="1" xr:uid="{EBF23B5C-EAE6-45BC-B61A-1B430244332C}">
          <x14:formula1>
            <xm:f>Contents!$I$2:$I$4</xm:f>
          </x14:formula1>
          <xm:sqref>Y2:Y31</xm:sqref>
        </x14:dataValidation>
        <x14:dataValidation type="list" allowBlank="1" showInputMessage="1" showErrorMessage="1" xr:uid="{8DFA6181-DF1E-43B3-B1DA-3F651F897C79}">
          <x14:formula1>
            <xm:f>Contents!$G$2:$G$9</xm:f>
          </x14:formula1>
          <xm:sqref>X2:X31</xm:sqref>
        </x14:dataValidation>
        <x14:dataValidation type="list" allowBlank="1" showInputMessage="1" showErrorMessage="1" xr:uid="{D8C74C13-6955-4530-80D0-BFE7477E6C24}">
          <x14:formula1>
            <xm:f>Contents!$L$2:$L$21</xm:f>
          </x14:formula1>
          <xm:sqref>S2:U31</xm:sqref>
        </x14:dataValidation>
        <x14:dataValidation type="list" allowBlank="1" showInputMessage="1" showErrorMessage="1" xr:uid="{D26487BC-5A96-4F8F-B1A8-DD9ABBC09403}">
          <x14:formula1>
            <xm:f>Contents!$K$2:$K$59</xm:f>
          </x14:formula1>
          <xm:sqref>N2:R7 N9:R31 R8 N8:O8</xm:sqref>
        </x14:dataValidation>
        <x14:dataValidation type="list" allowBlank="1" showInputMessage="1" showErrorMessage="1" xr:uid="{4772573C-7139-45E4-B305-CFD30C9E7253}">
          <x14:formula1>
            <xm:f>Contents!$M$2:$M$17</xm:f>
          </x14:formula1>
          <xm:sqref>V2:V31</xm:sqref>
        </x14:dataValidation>
        <x14:dataValidation type="list" allowBlank="1" showInputMessage="1" showErrorMessage="1" xr:uid="{0CA6E234-2D9E-4B4F-AF88-A39D81138C6B}">
          <x14:formula1>
            <xm:f>Contents!$H$2:$H$22</xm:f>
          </x14:formula1>
          <xm:sqref>W2:W31</xm:sqref>
        </x14:dataValidation>
        <x14:dataValidation type="list" allowBlank="1" showInputMessage="1" showErrorMessage="1" xr:uid="{3EA66BC8-7C82-473D-9A33-6D81C050395B}">
          <x14:formula1>
            <xm:f>Contents!$N$2:$N$5</xm:f>
          </x14:formula1>
          <xm:sqref>Z2:Z31</xm:sqref>
        </x14:dataValidation>
        <x14:dataValidation type="list" allowBlank="1" showInputMessage="1" showErrorMessage="1" xr:uid="{FBF52241-0727-44FD-B36B-87638D2EFF4B}">
          <x14:formula1>
            <xm:f>Contents!$F$2:$F$14</xm:f>
          </x14:formula1>
          <xm:sqref>C2:C31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137A0-3CEC-4B34-A90B-593C01E3DD7E}">
  <sheetPr codeName="Sheet10">
    <tabColor theme="9"/>
  </sheetPr>
  <dimension ref="A1:Z32"/>
  <sheetViews>
    <sheetView topLeftCell="L1" workbookViewId="0">
      <selection activeCell="Z1" sqref="Z1"/>
    </sheetView>
  </sheetViews>
  <sheetFormatPr defaultRowHeight="15" x14ac:dyDescent="0.25"/>
  <cols>
    <col min="1" max="1" width="26.140625" bestFit="1" customWidth="1"/>
    <col min="2" max="2" width="20.5703125" customWidth="1"/>
    <col min="3" max="3" width="12.7109375" customWidth="1"/>
    <col min="4" max="4" width="18.5703125" bestFit="1" customWidth="1"/>
    <col min="5" max="5" width="13.85546875" bestFit="1" customWidth="1"/>
    <col min="6" max="6" width="9.5703125" bestFit="1" customWidth="1"/>
    <col min="7" max="7" width="11.140625" bestFit="1" customWidth="1"/>
    <col min="8" max="8" width="9.42578125" bestFit="1" customWidth="1"/>
    <col min="9" max="9" width="15.28515625" bestFit="1" customWidth="1"/>
    <col min="11" max="11" width="22.5703125" bestFit="1" customWidth="1"/>
    <col min="12" max="12" width="17.140625" bestFit="1" customWidth="1"/>
    <col min="13" max="13" width="20.7109375" bestFit="1" customWidth="1"/>
    <col min="15" max="15" width="17.140625" bestFit="1" customWidth="1"/>
    <col min="22" max="22" width="20.42578125" bestFit="1" customWidth="1"/>
    <col min="23" max="23" width="22.140625" bestFit="1" customWidth="1"/>
    <col min="24" max="24" width="17.5703125" bestFit="1" customWidth="1"/>
    <col min="25" max="25" width="15.7109375" bestFit="1" customWidth="1"/>
  </cols>
  <sheetData>
    <row r="1" spans="1:26" x14ac:dyDescent="0.25">
      <c r="A1" t="s">
        <v>0</v>
      </c>
      <c r="B1" t="s">
        <v>33</v>
      </c>
      <c r="C1" t="s">
        <v>34</v>
      </c>
      <c r="D1" t="s">
        <v>2</v>
      </c>
      <c r="E1" t="s">
        <v>3</v>
      </c>
      <c r="F1" t="s">
        <v>4</v>
      </c>
      <c r="G1" t="s">
        <v>5</v>
      </c>
      <c r="H1" s="1" t="s">
        <v>70</v>
      </c>
      <c r="I1" s="1" t="s">
        <v>71</v>
      </c>
      <c r="J1" s="1" t="s">
        <v>32</v>
      </c>
      <c r="K1" s="1" t="s">
        <v>6</v>
      </c>
      <c r="L1" s="1" t="s">
        <v>209</v>
      </c>
      <c r="M1" s="1" t="s">
        <v>210</v>
      </c>
      <c r="N1" s="1" t="s">
        <v>318</v>
      </c>
      <c r="O1" s="1" t="s">
        <v>319</v>
      </c>
      <c r="P1" s="1" t="s">
        <v>320</v>
      </c>
      <c r="Q1" s="1" t="s">
        <v>321</v>
      </c>
      <c r="R1" s="1" t="s">
        <v>322</v>
      </c>
      <c r="S1" s="1" t="s">
        <v>323</v>
      </c>
      <c r="T1" s="1" t="s">
        <v>324</v>
      </c>
      <c r="U1" s="1" t="s">
        <v>329</v>
      </c>
      <c r="V1" s="1" t="s">
        <v>276</v>
      </c>
      <c r="W1" s="1" t="s">
        <v>106</v>
      </c>
      <c r="X1" s="1" t="s">
        <v>107</v>
      </c>
      <c r="Y1" s="1" t="s">
        <v>108</v>
      </c>
      <c r="Z1" s="1" t="s">
        <v>421</v>
      </c>
    </row>
    <row r="2" spans="1:26" x14ac:dyDescent="0.25">
      <c r="H2" s="1"/>
      <c r="I2" s="1"/>
      <c r="J2" s="1"/>
      <c r="K2" s="1"/>
      <c r="L2" s="1"/>
      <c r="M2" s="1"/>
      <c r="N2" s="1"/>
      <c r="O2" s="1"/>
      <c r="P2" s="1"/>
      <c r="Q2" s="1"/>
      <c r="R2" s="1"/>
      <c r="S2" s="1"/>
      <c r="T2" s="1"/>
      <c r="U2" s="1"/>
      <c r="V2" s="1"/>
      <c r="W2" s="1"/>
      <c r="X2" s="1"/>
      <c r="Y2" s="1"/>
      <c r="Z2" s="1"/>
    </row>
    <row r="3" spans="1:26" x14ac:dyDescent="0.25">
      <c r="H3" s="1"/>
      <c r="I3" s="1"/>
      <c r="J3" s="1"/>
      <c r="K3" s="1"/>
      <c r="L3" s="1"/>
      <c r="M3" s="1"/>
      <c r="N3" s="1"/>
      <c r="O3" s="1"/>
      <c r="P3" s="1"/>
      <c r="Q3" s="1"/>
      <c r="R3" s="1"/>
      <c r="S3" s="1"/>
      <c r="T3" s="1"/>
      <c r="U3" s="1"/>
      <c r="V3" s="1"/>
      <c r="W3" s="1"/>
      <c r="X3" s="1"/>
      <c r="Y3" s="1"/>
      <c r="Z3" s="1"/>
    </row>
    <row r="4" spans="1:26" x14ac:dyDescent="0.25">
      <c r="H4" s="1"/>
      <c r="I4" s="1"/>
      <c r="J4" s="1"/>
      <c r="K4" s="1"/>
      <c r="L4" s="1"/>
      <c r="M4" s="1"/>
      <c r="N4" s="1"/>
      <c r="O4" s="1"/>
      <c r="P4" s="1"/>
      <c r="Q4" s="1"/>
      <c r="R4" s="1"/>
      <c r="S4" s="1"/>
      <c r="T4" s="1"/>
      <c r="U4" s="1"/>
      <c r="V4" s="1"/>
      <c r="W4" s="1"/>
      <c r="X4" s="1"/>
      <c r="Y4" s="1"/>
      <c r="Z4" s="1"/>
    </row>
    <row r="5" spans="1:26" x14ac:dyDescent="0.25">
      <c r="H5" s="1"/>
      <c r="I5" s="1"/>
      <c r="J5" s="1"/>
      <c r="K5" s="1"/>
      <c r="L5" s="1"/>
      <c r="M5" s="1"/>
      <c r="N5" s="1"/>
      <c r="O5" s="1"/>
      <c r="P5" s="1"/>
      <c r="Q5" s="1"/>
      <c r="R5" s="1"/>
      <c r="S5" s="1"/>
      <c r="T5" s="1"/>
      <c r="U5" s="1"/>
      <c r="V5" s="1"/>
      <c r="W5" s="1"/>
      <c r="X5" s="1"/>
      <c r="Y5" s="1"/>
      <c r="Z5" s="1"/>
    </row>
    <row r="6" spans="1:26" x14ac:dyDescent="0.25">
      <c r="H6" s="1"/>
      <c r="I6" s="1"/>
      <c r="J6" s="1"/>
      <c r="K6" s="1"/>
      <c r="L6" s="1"/>
      <c r="M6" s="1"/>
      <c r="N6" s="1"/>
      <c r="O6" s="1"/>
      <c r="P6" s="1"/>
      <c r="Q6" s="1"/>
      <c r="R6" s="1"/>
      <c r="S6" s="1"/>
      <c r="T6" s="1"/>
      <c r="U6" s="1"/>
      <c r="V6" s="1"/>
      <c r="W6" s="1"/>
      <c r="X6" s="1"/>
      <c r="Y6" s="1"/>
      <c r="Z6" s="1"/>
    </row>
    <row r="7" spans="1:26" x14ac:dyDescent="0.25">
      <c r="H7" s="1"/>
      <c r="I7" s="1"/>
      <c r="J7" s="1"/>
      <c r="K7" s="1"/>
      <c r="L7" s="1"/>
      <c r="M7" s="1"/>
      <c r="N7" s="1"/>
      <c r="O7" s="1"/>
      <c r="P7" s="1"/>
      <c r="Q7" s="1"/>
      <c r="R7" s="1"/>
      <c r="S7" s="1"/>
      <c r="T7" s="1"/>
      <c r="U7" s="1"/>
      <c r="V7" s="1"/>
      <c r="W7" s="1"/>
      <c r="X7" s="1"/>
      <c r="Y7" s="1"/>
      <c r="Z7" s="1"/>
    </row>
    <row r="8" spans="1:26" x14ac:dyDescent="0.25">
      <c r="H8" s="1"/>
      <c r="I8" s="1"/>
      <c r="J8" s="1"/>
      <c r="K8" s="1"/>
      <c r="L8" s="1"/>
      <c r="M8" s="1"/>
      <c r="N8" s="1"/>
      <c r="O8" s="1"/>
      <c r="P8" s="1"/>
      <c r="Q8" s="1"/>
      <c r="R8" s="1"/>
      <c r="S8" s="1"/>
      <c r="T8" s="1"/>
      <c r="U8" s="1"/>
      <c r="V8" s="1"/>
      <c r="W8" s="1"/>
      <c r="X8" s="1"/>
      <c r="Y8" s="1"/>
      <c r="Z8" s="1"/>
    </row>
    <row r="9" spans="1:26" x14ac:dyDescent="0.25">
      <c r="H9" s="1"/>
      <c r="I9" s="1"/>
      <c r="J9" s="1"/>
      <c r="K9" s="1"/>
      <c r="L9" s="1"/>
      <c r="M9" s="1"/>
      <c r="N9" s="1"/>
      <c r="O9" s="1"/>
      <c r="P9" s="1"/>
      <c r="Q9" s="1"/>
      <c r="R9" s="1"/>
      <c r="S9" s="1"/>
      <c r="T9" s="1"/>
      <c r="U9" s="1"/>
      <c r="V9" s="1"/>
      <c r="W9" s="1"/>
      <c r="X9" s="1"/>
      <c r="Y9" s="1"/>
      <c r="Z9" s="1"/>
    </row>
    <row r="10" spans="1:26" x14ac:dyDescent="0.25">
      <c r="H10" s="1"/>
      <c r="I10" s="1"/>
      <c r="J10" s="1"/>
      <c r="K10" s="1"/>
      <c r="L10" s="1"/>
      <c r="M10" s="1"/>
      <c r="N10" s="1"/>
      <c r="O10" s="1"/>
      <c r="P10" s="1"/>
      <c r="Q10" s="1"/>
      <c r="R10" s="1"/>
      <c r="S10" s="1"/>
      <c r="T10" s="1"/>
      <c r="U10" s="1"/>
      <c r="V10" s="1"/>
      <c r="W10" s="1"/>
      <c r="X10" s="1"/>
      <c r="Y10" s="1"/>
      <c r="Z10" s="1"/>
    </row>
    <row r="11" spans="1:26" x14ac:dyDescent="0.25">
      <c r="H11" s="1"/>
      <c r="I11" s="1"/>
      <c r="J11" s="1"/>
      <c r="K11" s="1"/>
      <c r="L11" s="1"/>
      <c r="M11" s="1"/>
      <c r="N11" s="1"/>
      <c r="O11" s="1"/>
      <c r="P11" s="1"/>
      <c r="Q11" s="1"/>
      <c r="R11" s="1"/>
      <c r="S11" s="1"/>
      <c r="T11" s="1"/>
      <c r="U11" s="1"/>
      <c r="V11" s="1"/>
      <c r="W11" s="1"/>
      <c r="X11" s="1"/>
      <c r="Y11" s="1"/>
      <c r="Z11" s="1"/>
    </row>
    <row r="12" spans="1:26" x14ac:dyDescent="0.25">
      <c r="H12" s="1"/>
      <c r="I12" s="1"/>
      <c r="J12" s="1"/>
      <c r="K12" s="1"/>
      <c r="L12" s="1"/>
      <c r="M12" s="1"/>
      <c r="N12" s="1"/>
      <c r="O12" s="1"/>
      <c r="P12" s="1"/>
      <c r="Q12" s="1"/>
      <c r="R12" s="1"/>
      <c r="S12" s="1"/>
      <c r="T12" s="1"/>
      <c r="U12" s="1"/>
      <c r="V12" s="1"/>
      <c r="W12" s="1"/>
      <c r="X12" s="1"/>
      <c r="Y12" s="1"/>
      <c r="Z12" s="1"/>
    </row>
    <row r="13" spans="1:26" x14ac:dyDescent="0.25">
      <c r="H13" s="1"/>
      <c r="I13" s="1"/>
      <c r="J13" s="1"/>
      <c r="K13" s="1"/>
      <c r="L13" s="1"/>
      <c r="M13" s="1"/>
      <c r="N13" s="1"/>
      <c r="O13" s="1"/>
      <c r="P13" s="1"/>
      <c r="Q13" s="1"/>
      <c r="R13" s="1"/>
      <c r="S13" s="1"/>
      <c r="T13" s="1"/>
      <c r="U13" s="1"/>
      <c r="V13" s="1"/>
      <c r="W13" s="1"/>
      <c r="X13" s="1"/>
      <c r="Y13" s="1"/>
      <c r="Z13" s="1"/>
    </row>
    <row r="14" spans="1:26" x14ac:dyDescent="0.25">
      <c r="H14" s="1"/>
      <c r="I14" s="1"/>
      <c r="J14" s="1"/>
      <c r="K14" s="1"/>
      <c r="L14" s="1"/>
      <c r="M14" s="1"/>
      <c r="N14" s="1"/>
      <c r="O14" s="1"/>
      <c r="P14" s="1"/>
      <c r="Q14" s="1"/>
      <c r="R14" s="1"/>
      <c r="S14" s="1"/>
      <c r="T14" s="1"/>
      <c r="U14" s="1"/>
      <c r="V14" s="1"/>
      <c r="W14" s="1"/>
      <c r="X14" s="1"/>
      <c r="Y14" s="1"/>
      <c r="Z14" s="1"/>
    </row>
    <row r="15" spans="1:26" x14ac:dyDescent="0.25">
      <c r="H15" s="1"/>
      <c r="I15" s="1"/>
      <c r="J15" s="1"/>
      <c r="K15" s="1"/>
      <c r="L15" s="1"/>
      <c r="M15" s="1"/>
      <c r="N15" s="1"/>
      <c r="O15" s="1"/>
      <c r="P15" s="1"/>
      <c r="Q15" s="1"/>
      <c r="R15" s="1"/>
      <c r="S15" s="1"/>
      <c r="T15" s="1"/>
      <c r="U15" s="1"/>
      <c r="V15" s="1"/>
      <c r="W15" s="1"/>
      <c r="X15" s="1"/>
      <c r="Y15" s="1"/>
      <c r="Z15" s="1"/>
    </row>
    <row r="16" spans="1:26" x14ac:dyDescent="0.25">
      <c r="H16" s="1"/>
      <c r="I16" s="1"/>
      <c r="J16" s="1"/>
      <c r="K16" s="1"/>
      <c r="L16" s="1"/>
      <c r="M16" s="1"/>
      <c r="N16" s="1"/>
      <c r="O16" s="1"/>
      <c r="P16" s="1"/>
      <c r="Q16" s="1"/>
      <c r="R16" s="1"/>
      <c r="S16" s="1"/>
      <c r="T16" s="1"/>
      <c r="U16" s="1"/>
      <c r="V16" s="1"/>
      <c r="W16" s="1"/>
      <c r="X16" s="1"/>
      <c r="Y16" s="1"/>
      <c r="Z16" s="1"/>
    </row>
    <row r="17" spans="1:26" x14ac:dyDescent="0.25">
      <c r="H17" s="1"/>
      <c r="I17" s="1"/>
      <c r="J17" s="1"/>
      <c r="K17" s="1"/>
      <c r="L17" s="1"/>
      <c r="M17" s="1"/>
      <c r="N17" s="1"/>
      <c r="O17" s="1"/>
      <c r="P17" s="1"/>
      <c r="Q17" s="1"/>
      <c r="R17" s="1"/>
      <c r="S17" s="1"/>
      <c r="T17" s="1"/>
      <c r="U17" s="1"/>
      <c r="V17" s="1"/>
      <c r="W17" s="1"/>
      <c r="X17" s="1"/>
      <c r="Y17" s="1"/>
      <c r="Z17" s="1"/>
    </row>
    <row r="18" spans="1:26" x14ac:dyDescent="0.25">
      <c r="H18" s="1"/>
      <c r="I18" s="1"/>
      <c r="J18" s="1"/>
      <c r="K18" s="1"/>
      <c r="L18" s="1"/>
      <c r="M18" s="1"/>
      <c r="N18" s="1"/>
      <c r="O18" s="1"/>
      <c r="P18" s="1"/>
      <c r="Q18" s="1"/>
      <c r="R18" s="1"/>
      <c r="S18" s="1"/>
      <c r="T18" s="1"/>
      <c r="U18" s="1"/>
      <c r="V18" s="1"/>
      <c r="W18" s="1"/>
      <c r="X18" s="1"/>
      <c r="Y18" s="1"/>
      <c r="Z18" s="1"/>
    </row>
    <row r="19" spans="1:26" x14ac:dyDescent="0.25">
      <c r="H19" s="1"/>
      <c r="I19" s="1"/>
      <c r="J19" s="1"/>
      <c r="K19" s="1"/>
      <c r="L19" s="1"/>
      <c r="M19" s="1"/>
      <c r="N19" s="1"/>
      <c r="O19" s="1"/>
      <c r="P19" s="1"/>
      <c r="Q19" s="1"/>
      <c r="R19" s="1"/>
      <c r="S19" s="1"/>
      <c r="T19" s="1"/>
      <c r="U19" s="1"/>
      <c r="V19" s="1"/>
      <c r="W19" s="1"/>
      <c r="X19" s="1"/>
      <c r="Y19" s="1"/>
      <c r="Z19" s="1"/>
    </row>
    <row r="20" spans="1:26" x14ac:dyDescent="0.25">
      <c r="H20" s="1"/>
      <c r="I20" s="1"/>
      <c r="J20" s="1"/>
      <c r="K20" s="1"/>
      <c r="L20" s="1"/>
      <c r="M20" s="1"/>
      <c r="N20" s="1"/>
      <c r="O20" s="1"/>
      <c r="P20" s="1"/>
      <c r="Q20" s="1"/>
      <c r="R20" s="1"/>
      <c r="S20" s="1"/>
      <c r="T20" s="1"/>
      <c r="U20" s="1"/>
      <c r="V20" s="1"/>
      <c r="W20" s="1"/>
      <c r="X20" s="1"/>
      <c r="Y20" s="1"/>
      <c r="Z20" s="1"/>
    </row>
    <row r="21" spans="1:26" x14ac:dyDescent="0.25">
      <c r="H21" s="1"/>
      <c r="I21" s="1"/>
      <c r="J21" s="1"/>
      <c r="K21" s="1"/>
      <c r="L21" s="1"/>
      <c r="M21" s="1"/>
      <c r="N21" s="1"/>
      <c r="O21" s="1"/>
      <c r="P21" s="1"/>
      <c r="Q21" s="1"/>
      <c r="R21" s="1"/>
      <c r="S21" s="1"/>
      <c r="T21" s="1"/>
      <c r="U21" s="1"/>
      <c r="V21" s="1"/>
      <c r="W21" s="1"/>
      <c r="X21" s="1"/>
      <c r="Y21" s="1"/>
      <c r="Z21" s="1"/>
    </row>
    <row r="22" spans="1:26" x14ac:dyDescent="0.25">
      <c r="H22" s="1"/>
      <c r="I22" s="1"/>
      <c r="J22" s="1"/>
      <c r="K22" s="1"/>
      <c r="L22" s="1"/>
      <c r="M22" s="1"/>
      <c r="N22" s="1"/>
      <c r="O22" s="1"/>
      <c r="P22" s="1"/>
      <c r="Q22" s="1"/>
      <c r="R22" s="1"/>
      <c r="S22" s="1"/>
      <c r="T22" s="1"/>
      <c r="U22" s="1"/>
      <c r="V22" s="1"/>
      <c r="W22" s="1"/>
      <c r="X22" s="1"/>
      <c r="Y22" s="1"/>
      <c r="Z22" s="1"/>
    </row>
    <row r="23" spans="1:26" x14ac:dyDescent="0.25">
      <c r="H23" s="1"/>
      <c r="I23" s="1"/>
      <c r="J23" s="1"/>
      <c r="K23" s="1"/>
      <c r="L23" s="1"/>
      <c r="M23" s="1"/>
      <c r="N23" s="1"/>
      <c r="O23" s="1"/>
      <c r="P23" s="1"/>
      <c r="Q23" s="1"/>
      <c r="R23" s="1"/>
      <c r="S23" s="1"/>
      <c r="T23" s="1"/>
      <c r="U23" s="1"/>
      <c r="V23" s="1"/>
      <c r="W23" s="1"/>
      <c r="X23" s="1"/>
      <c r="Y23" s="1"/>
      <c r="Z23" s="1"/>
    </row>
    <row r="24" spans="1:26" x14ac:dyDescent="0.25">
      <c r="H24" s="1"/>
      <c r="I24" s="1"/>
      <c r="J24" s="1"/>
      <c r="K24" s="1"/>
      <c r="L24" s="1"/>
      <c r="M24" s="1"/>
      <c r="N24" s="1"/>
      <c r="O24" s="1"/>
      <c r="P24" s="1"/>
      <c r="Q24" s="1"/>
      <c r="R24" s="1"/>
      <c r="S24" s="1"/>
      <c r="T24" s="1"/>
      <c r="U24" s="1"/>
      <c r="V24" s="1"/>
      <c r="W24" s="1"/>
      <c r="X24" s="1"/>
      <c r="Y24" s="1"/>
      <c r="Z24" s="1"/>
    </row>
    <row r="25" spans="1:26" x14ac:dyDescent="0.25">
      <c r="H25" s="1"/>
      <c r="I25" s="1"/>
      <c r="J25" s="1"/>
      <c r="K25" s="1"/>
      <c r="L25" s="1"/>
      <c r="M25" s="1"/>
      <c r="N25" s="1"/>
      <c r="O25" s="1"/>
      <c r="P25" s="1"/>
      <c r="Q25" s="1"/>
      <c r="R25" s="1"/>
      <c r="S25" s="1"/>
      <c r="T25" s="1"/>
      <c r="U25" s="1"/>
      <c r="V25" s="1"/>
      <c r="W25" s="1"/>
      <c r="X25" s="1"/>
      <c r="Y25" s="1"/>
      <c r="Z25" s="1"/>
    </row>
    <row r="26" spans="1:26" x14ac:dyDescent="0.25">
      <c r="H26" s="1"/>
      <c r="I26" s="1"/>
      <c r="J26" s="1"/>
      <c r="K26" s="1"/>
      <c r="L26" s="1"/>
      <c r="M26" s="1"/>
      <c r="N26" s="1"/>
      <c r="O26" s="1"/>
      <c r="P26" s="1"/>
      <c r="Q26" s="1"/>
      <c r="R26" s="1"/>
      <c r="S26" s="1"/>
      <c r="T26" s="1"/>
      <c r="U26" s="1"/>
      <c r="V26" s="1"/>
      <c r="W26" s="1"/>
      <c r="X26" s="1"/>
      <c r="Y26" s="1"/>
      <c r="Z26" s="1"/>
    </row>
    <row r="27" spans="1:26" x14ac:dyDescent="0.25">
      <c r="H27" s="1"/>
      <c r="I27" s="1"/>
      <c r="J27" s="1"/>
      <c r="K27" s="1"/>
      <c r="L27" s="1"/>
      <c r="M27" s="1"/>
      <c r="N27" s="1"/>
      <c r="O27" s="1"/>
      <c r="P27" s="1"/>
      <c r="Q27" s="1"/>
      <c r="R27" s="1"/>
      <c r="S27" s="1"/>
      <c r="T27" s="1"/>
      <c r="U27" s="1"/>
      <c r="V27" s="1"/>
      <c r="W27" s="1"/>
      <c r="X27" s="1"/>
      <c r="Y27" s="1"/>
      <c r="Z27" s="1"/>
    </row>
    <row r="28" spans="1:26" x14ac:dyDescent="0.25">
      <c r="H28" s="1"/>
      <c r="I28" s="1"/>
      <c r="J28" s="1"/>
      <c r="K28" s="1"/>
      <c r="L28" s="1"/>
      <c r="M28" s="1"/>
      <c r="N28" s="1"/>
      <c r="O28" s="1"/>
      <c r="P28" s="1"/>
      <c r="Q28" s="1"/>
      <c r="R28" s="1"/>
      <c r="S28" s="1"/>
      <c r="T28" s="1"/>
      <c r="U28" s="1"/>
      <c r="V28" s="1"/>
      <c r="W28" s="1"/>
      <c r="X28" s="1"/>
      <c r="Y28" s="1"/>
      <c r="Z28" s="1"/>
    </row>
    <row r="29" spans="1:26" x14ac:dyDescent="0.25">
      <c r="H29" s="1"/>
      <c r="I29" s="1"/>
      <c r="J29" s="1"/>
      <c r="K29" s="1"/>
      <c r="L29" s="1"/>
      <c r="M29" s="1"/>
      <c r="N29" s="1"/>
      <c r="O29" s="1"/>
      <c r="P29" s="1"/>
      <c r="Q29" s="1"/>
      <c r="R29" s="1"/>
      <c r="S29" s="1"/>
      <c r="T29" s="1"/>
      <c r="U29" s="1"/>
      <c r="V29" s="1"/>
      <c r="W29" s="1"/>
      <c r="X29" s="1"/>
      <c r="Y29" s="1"/>
      <c r="Z29" s="1"/>
    </row>
    <row r="30" spans="1:26" x14ac:dyDescent="0.25">
      <c r="H30" s="1"/>
      <c r="I30" s="1"/>
      <c r="J30" s="1"/>
      <c r="K30" s="1"/>
      <c r="L30" s="1"/>
      <c r="M30" s="1"/>
      <c r="N30" s="1"/>
      <c r="O30" s="1"/>
      <c r="P30" s="1"/>
      <c r="Q30" s="1"/>
      <c r="R30" s="1"/>
      <c r="S30" s="1"/>
      <c r="T30" s="1"/>
      <c r="U30" s="1"/>
      <c r="V30" s="1"/>
      <c r="W30" s="1"/>
      <c r="X30" s="1"/>
      <c r="Y30" s="1"/>
      <c r="Z30" s="1"/>
    </row>
    <row r="31" spans="1:26" x14ac:dyDescent="0.25">
      <c r="H31" s="1"/>
      <c r="I31" s="1"/>
      <c r="J31" s="1"/>
      <c r="K31" s="1"/>
      <c r="L31" s="1"/>
      <c r="M31" s="1"/>
      <c r="N31" s="1"/>
      <c r="O31" s="1"/>
      <c r="P31" s="1"/>
      <c r="Q31" s="1"/>
      <c r="R31" s="1"/>
      <c r="S31" s="1"/>
      <c r="T31" s="1"/>
      <c r="U31" s="1"/>
      <c r="V31" s="1"/>
      <c r="W31" s="1"/>
      <c r="X31" s="1"/>
      <c r="Y31" s="1"/>
      <c r="Z31" s="1"/>
    </row>
    <row r="32" spans="1:26" x14ac:dyDescent="0.25">
      <c r="A32" s="54"/>
      <c r="B32" s="54"/>
      <c r="C32" s="54"/>
      <c r="D32" s="54"/>
      <c r="E32" s="54"/>
      <c r="F32" s="54"/>
      <c r="G32" s="54"/>
    </row>
  </sheetData>
  <mergeCells count="1">
    <mergeCell ref="A32:G32"/>
  </mergeCells>
  <phoneticPr fontId="1" type="noConversion"/>
  <conditionalFormatting sqref="K2:K31">
    <cfRule type="colorScale" priority="4">
      <colorScale>
        <cfvo type="min"/>
        <cfvo type="percentile" val="50"/>
        <cfvo type="max"/>
        <color rgb="FFF8696B"/>
        <color rgb="FFFFEB84"/>
        <color rgb="FF63BE7B"/>
      </colorScale>
    </cfRule>
  </conditionalFormatting>
  <conditionalFormatting sqref="J2:J31">
    <cfRule type="colorScale" priority="3">
      <colorScale>
        <cfvo type="min"/>
        <cfvo type="percentile" val="50"/>
        <cfvo type="max"/>
        <color rgb="FFF8696B"/>
        <color rgb="FFFFEB84"/>
        <color rgb="FF63BE7B"/>
      </colorScale>
    </cfRule>
  </conditionalFormatting>
  <conditionalFormatting sqref="I2:I31">
    <cfRule type="colorScale" priority="2">
      <colorScale>
        <cfvo type="min"/>
        <cfvo type="percentile" val="50"/>
        <cfvo type="max"/>
        <color rgb="FFF8696B"/>
        <color rgb="FFFFEB84"/>
        <color rgb="FF63BE7B"/>
      </colorScale>
    </cfRule>
  </conditionalFormatting>
  <conditionalFormatting sqref="H2:H31">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2">
        <x14:dataValidation type="list" allowBlank="1" showInputMessage="1" showErrorMessage="1" xr:uid="{0CE356BD-B881-4EE6-9EE4-A2F0B3B7589A}">
          <x14:formula1>
            <xm:f>Contents!$A$2:$A$18</xm:f>
          </x14:formula1>
          <xm:sqref>D2:F31</xm:sqref>
        </x14:dataValidation>
        <x14:dataValidation type="list" allowBlank="1" showInputMessage="1" showErrorMessage="1" xr:uid="{A5BCE993-5282-4F3D-A54E-CC26803B192B}">
          <x14:formula1>
            <xm:f>Contents!$C$2:$C$8</xm:f>
          </x14:formula1>
          <xm:sqref>G2:G31</xm:sqref>
        </x14:dataValidation>
        <x14:dataValidation type="list" allowBlank="1" showInputMessage="1" showErrorMessage="1" xr:uid="{718738E2-C33E-41BD-BE91-0F50868856FE}">
          <x14:formula1>
            <xm:f>Contents!$D$2:$D$28</xm:f>
          </x14:formula1>
          <xm:sqref>B2:B31</xm:sqref>
        </x14:dataValidation>
        <x14:dataValidation type="list" allowBlank="1" showInputMessage="1" showErrorMessage="1" xr:uid="{24C7541E-CE77-46D7-B583-9CE5C1B19D86}">
          <x14:formula1>
            <xm:f>Contents!$J$2:$J$88</xm:f>
          </x14:formula1>
          <xm:sqref>L2:M31</xm:sqref>
        </x14:dataValidation>
        <x14:dataValidation type="list" allowBlank="1" showInputMessage="1" showErrorMessage="1" xr:uid="{B0B62C54-C247-4D50-ADB2-D98313A0CF42}">
          <x14:formula1>
            <xm:f>Contents!$I$2:$I$4</xm:f>
          </x14:formula1>
          <xm:sqref>Y2:Y31</xm:sqref>
        </x14:dataValidation>
        <x14:dataValidation type="list" allowBlank="1" showInputMessage="1" showErrorMessage="1" xr:uid="{5C272635-4B73-494E-AC1B-0A324BBC2CDB}">
          <x14:formula1>
            <xm:f>Contents!$G$2:$G$9</xm:f>
          </x14:formula1>
          <xm:sqref>X2:X31</xm:sqref>
        </x14:dataValidation>
        <x14:dataValidation type="list" allowBlank="1" showInputMessage="1" showErrorMessage="1" xr:uid="{EAF05C56-508E-4CE3-AC8F-4A7EB6C9D958}">
          <x14:formula1>
            <xm:f>Contents!$L$2:$L$21</xm:f>
          </x14:formula1>
          <xm:sqref>S2:U31</xm:sqref>
        </x14:dataValidation>
        <x14:dataValidation type="list" allowBlank="1" showInputMessage="1" showErrorMessage="1" xr:uid="{EFF8F712-7FC8-4BC5-B4C8-317825E14F30}">
          <x14:formula1>
            <xm:f>Contents!$K$2:$K$59</xm:f>
          </x14:formula1>
          <xm:sqref>N2:R7 N9:R31 R8 N8:O8</xm:sqref>
        </x14:dataValidation>
        <x14:dataValidation type="list" allowBlank="1" showInputMessage="1" showErrorMessage="1" xr:uid="{E6AB7889-7823-4A3F-90EA-0B4F9F085027}">
          <x14:formula1>
            <xm:f>Contents!$M$2:$M$17</xm:f>
          </x14:formula1>
          <xm:sqref>V2:V31</xm:sqref>
        </x14:dataValidation>
        <x14:dataValidation type="list" allowBlank="1" showInputMessage="1" showErrorMessage="1" xr:uid="{3057B608-39FB-4D42-A3F6-AFF1189C3610}">
          <x14:formula1>
            <xm:f>Contents!$H$2:$H$22</xm:f>
          </x14:formula1>
          <xm:sqref>W2:W31</xm:sqref>
        </x14:dataValidation>
        <x14:dataValidation type="list" allowBlank="1" showInputMessage="1" showErrorMessage="1" xr:uid="{308EE0D5-D6F9-4D3B-AE9F-32FB28DE0C6D}">
          <x14:formula1>
            <xm:f>Contents!$N$2:$N$5</xm:f>
          </x14:formula1>
          <xm:sqref>Z2:Z31</xm:sqref>
        </x14:dataValidation>
        <x14:dataValidation type="list" allowBlank="1" showInputMessage="1" showErrorMessage="1" xr:uid="{21FB2929-7267-4FA8-A319-C67937CF3C52}">
          <x14:formula1>
            <xm:f>Contents!$F$2:$F$14</xm:f>
          </x14:formula1>
          <xm:sqref>C2:C31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c 0 9 7 d 1 9 7 - 4 e 9 3 - 4 8 7 a - b 7 a e - 3 3 4 a f 7 a 6 2 c 3 9 "   x m l n s = " h t t p : / / s c h e m a s . m i c r o s o f t . c o m / D a t a M a s h u p " > A A A A A A w F A A B Q S w M E F A A C A A g A e K a w V N d + 5 Z a l A A A A 9 g A A A B I A H A B D b 2 5 m a W c v U G F j a 2 F n Z S 5 4 b W w g o h g A K K A U A A A A A A A A A A A A A A A A A A A A A A A A A A A A h Y + 9 D o I w F I V f h X S n 5 c e B k E t J d H C R x M T E u D a l Q i N c D C 2 W d 3 P w k X w F M Y q 6 O Z 7 v f M M 5 9 + s N 8 r F t v I v q j e 4 w I y E N i K d Q d q X G K i O D P f o J y T l s h T y J S n m T j C Y d T Z m R 2 t p z y p h z j r q Y d n 3 F o i A I 2 a H Y 7 G S t W k E + s v 4 v + x q N F S g V 4 b B / j e E R D Y M F j Z N p E 7 A Z Q q H x K 0 R T 9 2 x / I K y G x g 6 9 4 g r 9 9 R L Y H I G 9 P / A H U E s D B B Q A A g A I A H i m s F 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4 p r B U 8 K E E A w U C A A A m B g A A E w A c A E Z v c m 1 1 b G F z L 1 N l Y 3 R p b 2 4 x L m 0 g o h g A K K A U A A A A A A A A A A A A A A A A A A A A A A A A A A A A v Z R B b + o w D M f v S H w H K 7 s U q W K w N 7 3 L t A P a Y 0 + 7 P B B F 4 j B x y F p r j S h J l b o D V P H d n 5 O O F t F x 3 B C i x n Z + t v 9 J W m B M y m i I 6 u f 4 o d / r 9 4 p U W k w g I q k T p d 8 L e I Q M q f e s M p x L S i c 6 + S e 3 y N 7 p P s Z s + F R a i 5 p W x m 7 e j N k E g + r V x R + F W 5 C 3 C 8 T 6 + P p k N H H u u h o 5 O y u 3 e r w O e 8 C f y J Q 2 b q E N z U G G n 8 u K 4 K K H Q Q h k S 6 x / B z X o x t U l d B M s z K 4 Q j F z K N 4 Z E m P G U z h f U x U J A G a e w x D 0 N e V h L x U p R G v j u 1 y G I v z K T + w M D B w 1 6 g V v z w e Q Z p W i h n q B T 4 t M d X H Y S V s L r w O g / k q Q 4 N t j p P m e t O c / 7 G 1 z t 9 n b N D K 5 1 c E K G U I n p N l c W o S m F R W x V 7 r b X / Z 1 Z 9 a 6 8 F e U Y K y x g e c h 9 4 p R S F c O 4 N e 9 a 8 5 c z F 2 W G T f b s A 2 1 m b A K 3 4 E E y U w W 5 w N z k v p / n D J F g b n Z o R S v m 3 C j e R 5 A E d / e j k Q u s l D 5 5 J z t p W Q V x / N Y x J i W l x i o 6 f P s Y z f 5 G x l L 3 P L I z u N z 7 s K q + Q o U w 4 6 c d O h X Q 3 0 q v 0 b V u O s l t K 5 P E 1 X r h i v u 2 F X Z 6 T 3 P K z h v m 4 e r 0 E M b + + 6 L p 9 / 3 Q 6 X 1 2 L z T v U 9 K 9 E X W g v R H n 5 d 2 s J 7 J Y S L 0 R Z 3 0 u 0 L g h v m b 6 U A u 9 r M 4 X z e M Y e z o + P 3 G a f u g w X U w 7 v i 5 2 V 0 M n + U m D 5 v X G q v d 7 S v e v 8 R / + A 1 B L A Q I t A B Q A A g A I A H i m s F T X f u W W p Q A A A P Y A A A A S A A A A A A A A A A A A A A A A A A A A A A B D b 2 5 m a W c v U G F j a 2 F n Z S 5 4 b W x Q S w E C L Q A U A A I A C A B 4 p r B U D 8 r p q 6 Q A A A D p A A A A E w A A A A A A A A A A A A A A A A D x A A A A W 0 N v b n R l b n R f V H l w Z X N d L n h t b F B L A Q I t A B Q A A g A I A H i m s F T w o Q Q D B Q I A A C Y G A A A T A A A A A A A A A A A A A A A A A O I B A A B G b 3 J t d W x h c y 9 T Z W N 0 a W 9 u M S 5 t U E s F B g A A A A A D A A M A w g A A A D Q E 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r s U A A A A A A A A m R Q 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N 0 Y W 5 k a W 5 n c z w v S X R l b V B h d G g + P C 9 J d G V t T G 9 j Y X R p b 2 4 + P F N 0 Y W J s Z U V u d H J p Z X M + P E V u d H J 5 I F R 5 c G U 9 I k l z U H J p d m F 0 Z S I g V m F s d W U 9 I m w w I i A v P j x F b n R y e S B U e X B l P S J G a W x s R W 5 h Y m x l Z C I g V m F s d W U 9 I m w x I i A v P j x F b n R y e S B U e X B l P S J O Y X Z p Z 2 F 0 a W 9 u U 3 R l c E 5 h b W U i I F Z h b H V l P S J z T m F 2 a W d h d G l v b i I g L z 4 8 R W 5 0 c n k g V H l w Z T 0 i T m F t Z V V w Z G F 0 Z W R B Z n R l c k Z p b G w i I F Z h b H V l P S J s M C I g L z 4 8 R W 5 0 c n k g V H l w Z T 0 i U m V z d W x 0 V H l w Z S I g V m F s d W U 9 I n N U Y W J s Z S I g L z 4 8 R W 5 0 c n k g V H l w Z T 0 i Q n V m Z m V y T m V 4 d F J l Z n J l c 2 g i I F Z h b H V l P S J s M C I g L z 4 8 R W 5 0 c n k g V H l w Z T 0 i R m l s b E N v b H V t b l R 5 c G V z I i B W Y W x 1 Z T 0 i c 0 F 3 W U F B Q U F B Q U F B Q U F B Q U F B Q U F B I i A v P j x F b n R y e S B U e X B l P S J G a W x s Z W R D b 2 1 w b G V 0 Z V J l c 3 V s d F R v V 2 9 y a 3 N o Z W V 0 I i B W Y W x 1 Z T 0 i b D E i I C 8 + P E V u d H J 5 I F R 5 c G U 9 I k Z p b G x D b 2 x 1 b W 5 O Y W 1 l c y I g V m F s d W U 9 I n N b J n F 1 b 3 Q 7 U m F u a y Z x d W 9 0 O y w m c X V v d D t H Y W x h e H k g I y Z x d W 9 0 O y w m c X V v d D t F b X B p c m U g T m F t Z S Z x d W 9 0 O y w m c X V v d D t E Z X N j c m l w d G l v b i Z x d W 9 0 O y w m c X V v d D t P c m l n a W 4 m c X V v d D s s J n F 1 b 3 Q 7 U 3 B l Y 2 l l c y B U e X B l J n F 1 b 3 Q 7 L C Z x d W 9 0 O 0 V 0 a G l j I D E m c X V v d D s s J n F 1 b 3 Q 7 R X R o a W M g M i Z x d W 9 0 O y w m c X V v d D t F d G h p Y y A z J n F 1 b 3 Q 7 L C Z x d W 9 0 O 0 F 1 d G h v c m l 0 e S Z x d W 9 0 O y w m c X V v d D t P d m V y b G 9 y Z C A v I F N w Z W N p Y W x p c 3 Q m c X V v d D s s J n F 1 b 3 Q 7 U G 9 w c y Z x d W 9 0 O y w m c X V v d D t G b G V l d C B Q b 3 d l c i Z x d W 9 0 O y w m c X V v d D t H Y W x h e H k g U G 9 p b n R z I G F 0 I D I 0 M D A m c X V v d D s s J n F 1 b 3 Q 7 V 2 l u I F B v a W 5 0 c y B B d 2 F y Z G V k J n F 1 b 3 Q 7 X S I g L z 4 8 R W 5 0 c n k g V H l w Z T 0 i U X V l c n l J R C I g V m F s d W U 9 I n M 1 M G Y 0 N D c 5 M C 0 w N T h i L T R l Z j E t O D h l Z S 1 h Z W Q z N G J h O W I 1 M j M i I C 8 + P E V u d H J 5 I F R 5 c G U 9 I k Z p b G x M Y X N 0 V X B k Y X R l Z C I g V m F s d W U 9 I m Q y M D I y L T A 1 L T E 2 V D E 5 O j U x O j Q 5 L j k 2 O T g 0 N T J a I i A v P j x F b n R y e S B U e X B l P S J G a W x s R X J y b 3 J D b 3 V u d C I g V m F s d W U 9 I m w w I i A v P j x F b n R y e S B U e X B l P S J G a W x s U 3 R h d H V z I i B W Y W x 1 Z T 0 i c 0 N v b X B s Z X R l I i A v P j x F b n R y e S B U e X B l P S J G a W x s V G F y Z 2 V 0 I i B W Y W x 1 Z T 0 i c 1 N 0 Y W 5 k a W 5 n c y I g L z 4 8 R W 5 0 c n k g V H l w Z T 0 i R m l s b E V y c m 9 y Q 2 9 k Z S I g V m F s d W U 9 I n N V b m t u b 3 d u I i A v P j x F b n R y e S B U e X B l P S J G a W x s Q 2 9 1 b n Q i I F Z h b H V l P S J s M z A 5 I i A v P j x F b n R y e S B U e X B l P S J B Z G R l Z F R v R G F 0 Y U 1 v Z G V s I i B W Y W x 1 Z T 0 i b D A i I C 8 + P E V u d H J 5 I F R 5 c G U 9 I k Z p b G x U b 0 R h d G F N b 2 R l b E V u Y W J s Z W Q i I F Z h b H V l P S J s M C I g L z 4 8 R W 5 0 c n k g V H l w Z T 0 i R m l s b E 9 i a m V j d F R 5 c G U i I F Z h b H V l P S J z V G F i b G U i I C 8 + P E V u d H J 5 I F R 5 c G U 9 I l J l b G F 0 a W 9 u c 2 h p c E l u Z m 9 D b 2 5 0 Y W l u Z X I i I F Z h b H V l P S J z e y Z x d W 9 0 O 2 N v b H V t b k N v d W 5 0 J n F 1 b 3 Q 7 O j E 1 L C Z x d W 9 0 O 2 t l e U N v b H V t b k 5 h b W V z J n F 1 b 3 Q 7 O l t d L C Z x d W 9 0 O 3 F 1 Z X J 5 U m V s Y X R p b 2 5 z a G l w c y Z x d W 9 0 O z p b X S w m c X V v d D t j b 2 x 1 b W 5 J Z G V u d G l 0 a W V z J n F 1 b 3 Q 7 O l s m c X V v d D t T Z W N 0 a W 9 u M S 9 T d G F u Z G l u Z 3 M v Q W R k Z W Q g S W 5 k Z X g u e 0 l u Z G V 4 L D E 0 f S Z x d W 9 0 O y w m c X V v d D t T Z W N 0 a W 9 u M S 9 T d G F u Z G l u Z 3 M v Q W R k Z W Q g S W 5 k Z X g u e 0 5 h b W U s M H 0 m c X V v d D s s J n F 1 b 3 Q 7 U 2 V j d G l v b j E v U 3 R h b m R p b m d z L 0 F k Z G V k I E l u Z G V 4 L n t F b X B p c m U g T m F t Z S w x f S Z x d W 9 0 O y w m c X V v d D t T Z W N 0 a W 9 u M S 9 T d G F u Z G l u Z 3 M v Q W R k Z W Q g S W 5 k Z X g u e 0 R l c 2 N y a X B 0 a W 9 u L D J 9 J n F 1 b 3 Q 7 L C Z x d W 9 0 O 1 N l Y 3 R p b 2 4 x L 1 N 0 Y W 5 k a W 5 n c y 9 B Z G R l Z C B J b m R l e C 5 7 T 3 J p Z 2 l u L D N 9 J n F 1 b 3 Q 7 L C Z x d W 9 0 O 1 N l Y 3 R p b 2 4 x L 1 N 0 Y W 5 k a W 5 n c y 9 B Z G R l Z C B J b m R l e C 5 7 U 3 B l Y 2 l l c y B U e X B l L D R 9 J n F 1 b 3 Q 7 L C Z x d W 9 0 O 1 N l Y 3 R p b 2 4 x L 1 N 0 Y W 5 k a W 5 n c y 9 B Z G R l Z C B J b m R l e C 5 7 R X R o a W M g M S w 1 f S Z x d W 9 0 O y w m c X V v d D t T Z W N 0 a W 9 u M S 9 T d G F u Z G l u Z 3 M v Q W R k Z W Q g S W 5 k Z X g u e 0 V 0 a G l j I D I s N n 0 m c X V v d D s s J n F 1 b 3 Q 7 U 2 V j d G l v b j E v U 3 R h b m R p b m d z L 0 F k Z G V k I E l u Z G V 4 L n t F d G h p Y y A z L D d 9 J n F 1 b 3 Q 7 L C Z x d W 9 0 O 1 N l Y 3 R p b 2 4 x L 1 N 0 Y W 5 k a W 5 n c y 9 B Z G R l Z C B J b m R l e C 5 7 Q X V 0 a G 9 y a X R 5 L D h 9 J n F 1 b 3 Q 7 L C Z x d W 9 0 O 1 N l Y 3 R p b 2 4 x L 1 N 0 Y W 5 k a W 5 n c y 9 B Z G R l Z C B J b m R l e C 5 7 T 3 Z l c m x v c m Q g L y B T c G V j a W F s a X N 0 L D l 9 J n F 1 b 3 Q 7 L C Z x d W 9 0 O 1 N l Y 3 R p b 2 4 x L 1 N 0 Y W 5 k a W 5 n c y 9 B Z G R l Z C B J b m R l e C 5 7 U G 9 w c y w x M H 0 m c X V v d D s s J n F 1 b 3 Q 7 U 2 V j d G l v b j E v U 3 R h b m R p b m d z L 0 F k Z G V k I E l u Z G V 4 L n t G b G V l d C B Q b 3 d l c i w x M X 0 m c X V v d D s s J n F 1 b 3 Q 7 U 2 V j d G l v b j E v U 3 R h b m R p b m d z L 0 F k Z G V k I E l u Z G V 4 L n t H Y W x h e H k g U G 9 p b n R z I G F 0 I D I 0 M D A s M T J 9 J n F 1 b 3 Q 7 L C Z x d W 9 0 O 1 N l Y 3 R p b 2 4 x L 1 N 0 Y W 5 k a W 5 n c y 9 B Z G R l Z C B J b m R l e C 5 7 V 2 l u I F B v a W 5 0 c y B B d 2 F y Z G V k L D E z f S Z x d W 9 0 O 1 0 s J n F 1 b 3 Q 7 Q 2 9 s d W 1 u Q 2 9 1 b n Q m c X V v d D s 6 M T U s J n F 1 b 3 Q 7 S 2 V 5 Q 2 9 s d W 1 u T m F t Z X M m c X V v d D s 6 W 1 0 s J n F 1 b 3 Q 7 Q 2 9 s d W 1 u S W R l b n R p d G l l c y Z x d W 9 0 O z p b J n F 1 b 3 Q 7 U 2 V j d G l v b j E v U 3 R h b m R p b m d z L 0 F k Z G V k I E l u Z G V 4 L n t J b m R l e C w x N H 0 m c X V v d D s s J n F 1 b 3 Q 7 U 2 V j d G l v b j E v U 3 R h b m R p b m d z L 0 F k Z G V k I E l u Z G V 4 L n t O Y W 1 l L D B 9 J n F 1 b 3 Q 7 L C Z x d W 9 0 O 1 N l Y 3 R p b 2 4 x L 1 N 0 Y W 5 k a W 5 n c y 9 B Z G R l Z C B J b m R l e C 5 7 R W 1 w a X J l I E 5 h b W U s M X 0 m c X V v d D s s J n F 1 b 3 Q 7 U 2 V j d G l v b j E v U 3 R h b m R p b m d z L 0 F k Z G V k I E l u Z G V 4 L n t E Z X N j c m l w d G l v b i w y f S Z x d W 9 0 O y w m c X V v d D t T Z W N 0 a W 9 u M S 9 T d G F u Z G l u Z 3 M v Q W R k Z W Q g S W 5 k Z X g u e 0 9 y a W d p b i w z f S Z x d W 9 0 O y w m c X V v d D t T Z W N 0 a W 9 u M S 9 T d G F u Z G l u Z 3 M v Q W R k Z W Q g S W 5 k Z X g u e 1 N w Z W N p Z X M g V H l w Z S w 0 f S Z x d W 9 0 O y w m c X V v d D t T Z W N 0 a W 9 u M S 9 T d G F u Z G l u Z 3 M v Q W R k Z W Q g S W 5 k Z X g u e 0 V 0 a G l j I D E s N X 0 m c X V v d D s s J n F 1 b 3 Q 7 U 2 V j d G l v b j E v U 3 R h b m R p b m d z L 0 F k Z G V k I E l u Z G V 4 L n t F d G h p Y y A y L D Z 9 J n F 1 b 3 Q 7 L C Z x d W 9 0 O 1 N l Y 3 R p b 2 4 x L 1 N 0 Y W 5 k a W 5 n c y 9 B Z G R l Z C B J b m R l e C 5 7 R X R o a W M g M y w 3 f S Z x d W 9 0 O y w m c X V v d D t T Z W N 0 a W 9 u M S 9 T d G F u Z G l u Z 3 M v Q W R k Z W Q g S W 5 k Z X g u e 0 F 1 d G h v c m l 0 e S w 4 f S Z x d W 9 0 O y w m c X V v d D t T Z W N 0 a W 9 u M S 9 T d G F u Z G l u Z 3 M v Q W R k Z W Q g S W 5 k Z X g u e 0 9 2 Z X J s b 3 J k I C 8 g U 3 B l Y 2 l h b G l z d C w 5 f S Z x d W 9 0 O y w m c X V v d D t T Z W N 0 a W 9 u M S 9 T d G F u Z G l u Z 3 M v Q W R k Z W Q g S W 5 k Z X g u e 1 B v c H M s M T B 9 J n F 1 b 3 Q 7 L C Z x d W 9 0 O 1 N l Y 3 R p b 2 4 x L 1 N 0 Y W 5 k a W 5 n c y 9 B Z G R l Z C B J b m R l e C 5 7 R m x l Z X Q g U G 9 3 Z X I s M T F 9 J n F 1 b 3 Q 7 L C Z x d W 9 0 O 1 N l Y 3 R p b 2 4 x L 1 N 0 Y W 5 k a W 5 n c y 9 B Z G R l Z C B J b m R l e C 5 7 R 2 F s Y X h 5 I F B v a W 5 0 c y B h d C A y N D A w L D E y f S Z x d W 9 0 O y w m c X V v d D t T Z W N 0 a W 9 u M S 9 T d G F u Z G l u Z 3 M v Q W R k Z W Q g S W 5 k Z X g u e 1 d p b i B Q b 2 l u d H M g Q X d h c m R l Z C w x M 3 0 m c X V v d D t d L C Z x d W 9 0 O 1 J l b G F 0 a W 9 u c 2 h p c E l u Z m 8 m c X V v d D s 6 W 1 1 9 I i A v P j w v U 3 R h Y m x l R W 5 0 c m l l c z 4 8 L 0 l 0 Z W 0 + P E l 0 Z W 0 + P E l 0 Z W 1 M b 2 N h d G l v b j 4 8 S X R l b V R 5 c G U + R m 9 y b X V s Y T w v S X R l b V R 5 c G U + P E l 0 Z W 1 Q Y X R o P l N l Y 3 R p b 2 4 x L 1 N 0 Y W 5 k a W 5 n c y 9 G a W x l U G F 0 a E F u Z E 5 h b W U 8 L 0 l 0 Z W 1 Q Y X R o P j w v S X R l b U x v Y 2 F 0 a W 9 u P j x T d G F i b G V F b n R y a W V z I C 8 + P C 9 J d G V t P j x J d G V t P j x J d G V t T G 9 j Y X R p b 2 4 + P E l 0 Z W 1 U e X B l P k Z v c m 1 1 b G E 8 L 0 l 0 Z W 1 U e X B l P j x J d G V t U G F 0 a D 5 T Z W N 0 a W 9 u M S 9 T d G F u Z G l u Z 3 M v U 2 9 1 c m N l P C 9 J d G V t U G F 0 a D 4 8 L 0 l 0 Z W 1 M b 2 N h d G l v b j 4 8 U 3 R h Y m x l R W 5 0 c m l l c y A v P j w v S X R l b T 4 8 S X R l b T 4 8 S X R l b U x v Y 2 F 0 a W 9 u P j x J d G V t V H l w Z T 5 G b 3 J t d W x h P C 9 J d G V t V H l w Z T 4 8 S X R l b V B h d G g + U 2 V j d G l v b j E v U 3 R h b m R p b m d z L 0 Z p b H R l c m V k J T I w U m 9 3 c z w v S X R l b V B h d G g + P C 9 J d G V t T G 9 j Y X R p b 2 4 + P F N 0 Y W J s Z U V u d H J p Z X M g L z 4 8 L 0 l 0 Z W 0 + P E l 0 Z W 0 + P E l 0 Z W 1 M b 2 N h d G l v b j 4 8 S X R l b V R 5 c G U + R m 9 y b X V s Y T w v S X R l b V R 5 c G U + P E l 0 Z W 1 Q Y X R o P l N l Y 3 R p b 2 4 x L 1 N 0 Y W 5 k a W 5 n c y 9 S Z W 1 v d m V k J T I w T 3 R o Z X I l M j B D b 2 x 1 b W 5 z P C 9 J d G V t U G F 0 a D 4 8 L 0 l 0 Z W 1 M b 2 N h d G l v b j 4 8 U 3 R h Y m x l R W 5 0 c m l l c y A v P j w v S X R l b T 4 8 S X R l b T 4 8 S X R l b U x v Y 2 F 0 a W 9 u P j x J d G V t V H l w Z T 5 G b 3 J t d W x h P C 9 J d G V t V H l w Z T 4 8 S X R l b V B h d G g + U 2 V j d G l v b j E v U 3 R h b m R p b m d z L 0 V 4 c G F u Z G V k J T I w R G F 0 Y T w v S X R l b V B h d G g + P C 9 J d G V t T G 9 j Y X R p b 2 4 + P F N 0 Y W J s Z U V u d H J p Z X M g L z 4 8 L 0 l 0 Z W 0 + P E l 0 Z W 0 + P E l 0 Z W 1 M b 2 N h d G l v b j 4 8 S X R l b V R 5 c G U + R m 9 y b X V s Y T w v S X R l b V R 5 c G U + P E l 0 Z W 1 Q Y X R o P l N l Y 3 R p b 2 4 x L 1 N 0 Y W 5 k a W 5 n c y 9 T b 3 J 0 Z W Q l M j B S b 3 d z P C 9 J d G V t U G F 0 a D 4 8 L 0 l 0 Z W 1 M b 2 N h d G l v b j 4 8 U 3 R h Y m x l R W 5 0 c m l l c y A v P j w v S X R l b T 4 8 S X R l b T 4 8 S X R l b U x v Y 2 F 0 a W 9 u P j x J d G V t V H l w Z T 5 G b 3 J t d W x h P C 9 J d G V t V H l w Z T 4 8 S X R l b V B h d G g + U 2 V j d G l v b j E v U 3 R h b m R p b m d z L 0 F k Z G V k J T I w S W 5 k Z X g 8 L 0 l 0 Z W 1 Q Y X R o P j w v S X R l b U x v Y 2 F 0 a W 9 u P j x T d G F i b G V F b n R y a W V z I C 8 + P C 9 J d G V t P j x J d G V t P j x J d G V t T G 9 j Y X R p b 2 4 + P E l 0 Z W 1 U e X B l P k Z v c m 1 1 b G E 8 L 0 l 0 Z W 1 U e X B l P j x J d G V t U G F 0 a D 5 T Z W N 0 a W 9 u M S 9 T d G F u Z G l u Z 3 M v U m V u Y W 1 l Z C U y M E N v b H V t b n M 8 L 0 l 0 Z W 1 Q Y X R o P j w v S X R l b U x v Y 2 F 0 a W 9 u P j x T d G F i b G V F b n R y a W V z I C 8 + P C 9 J d G V t P j x J d G V t P j x J d G V t T G 9 j Y X R p b 2 4 + P E l 0 Z W 1 U e X B l P k Z v c m 1 1 b G E 8 L 0 l 0 Z W 1 U e X B l P j x J d G V t U G F 0 a D 5 T Z W N 0 a W 9 u M S 9 T d G F u Z G l u Z 3 M v U m V v c m R l c m V k J T I w Q 2 9 s d W 1 u c z w v S X R l b V B h d G g + P C 9 J d G V t T G 9 j Y X R p b 2 4 + P F N 0 Y W J s Z U V u d H J p Z X M g L z 4 8 L 0 l 0 Z W 0 + P E l 0 Z W 0 + P E l 0 Z W 1 M b 2 N h d G l v b j 4 8 S X R l b V R 5 c G U + R m 9 y b X V s Y T w v S X R l b V R 5 c G U + P E l 0 Z W 1 Q Y X R o P l N l Y 3 R p b 2 4 x L 1 N 0 Y W 5 k a W 5 n c y 9 S Z W 5 h b W V k J T I w Q 2 9 s d W 1 u c z E 8 L 0 l 0 Z W 1 Q Y X R o P j w v S X R l b U x v Y 2 F 0 a W 9 u P j x T d G F i b G V F b n R y a W V z I C 8 + P C 9 J d G V t P j w v S X R l b X M + P C 9 M b 2 N h b F B h Y 2 t h Z 2 V N Z X R h Z G F 0 Y U Z p b G U + F g A A A F B L B Q Y A A A A A A A A A A A A A A A A A A A A A A A A m A Q A A A Q A A A N C M n d 8 B F d E R j H o A w E / C l + s B A A A A f r q 1 7 p m 2 1 U q 2 Y q 5 8 G k o x C Q A A A A A C A A A A A A A Q Z g A A A A E A A C A A A A A g q f W Y j G a F J K j H Y l x Z 5 k C + g N h b B z C 3 Y p m v 3 5 z t 0 r O E 6 g A A A A A O g A A A A A I A A C A A A A C 4 5 v s Z K 9 U f Y b l 3 N P 1 g U M T g v z 4 9 O N A / g s 1 w g m L q + U g j r F A A A A B G Q s p k j N U J f m D w n F p P h m e x a V s t + r I Z w 5 N h F j W M t T a Z y X G l 9 N Y E 6 r I S 8 F u e S V G z Z I D L 3 / D c H g j B Q M p E m J e v B a 8 n u m y h z 8 x Z v I 9 E 5 X 4 / 4 8 8 9 L k A A A A A K i p 5 N A G t S Q L K f f V H 5 v 5 0 g 3 9 h 7 v L v x 8 b L J u Y p J O 8 u j G j 0 1 A 4 i n L 5 d b h D 2 r K T f V 8 e h A I 6 L 4 z t r u D L y H 7 v J B i i e 9 < / D a t a M a s h u p > 
</file>

<file path=customXml/itemProps1.xml><?xml version="1.0" encoding="utf-8"?>
<ds:datastoreItem xmlns:ds="http://schemas.openxmlformats.org/officeDocument/2006/customXml" ds:itemID="{5C39BF58-3B26-4349-BF5D-120F1284352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How to Use</vt:lpstr>
      <vt:lpstr>Contents</vt:lpstr>
      <vt:lpstr>Galaxy #1</vt:lpstr>
      <vt:lpstr>Galaxy #2</vt:lpstr>
      <vt:lpstr>Galaxy #3</vt:lpstr>
      <vt:lpstr>Galaxy #4</vt:lpstr>
      <vt:lpstr>Galaxy #5</vt:lpstr>
      <vt:lpstr>Galaxy #6</vt:lpstr>
      <vt:lpstr>Galaxy #7</vt:lpstr>
      <vt:lpstr>Galaxy #8</vt:lpstr>
      <vt:lpstr>Galaxy #9</vt:lpstr>
      <vt:lpstr>Galaxy #10</vt:lpstr>
      <vt:lpstr>Statistics</vt:lpstr>
      <vt:lpstr>Standings</vt:lpstr>
      <vt:lpstr>FilepathAndName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2022-03-15T23:16:59Z</dcterms:created>
  <dcterms:modified xsi:type="dcterms:W3CDTF">2022-05-16T20:04:51Z</dcterms:modified>
</cp:coreProperties>
</file>